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538 Palægaragerne\C03 Oekonomi\C03.3 Budget\"/>
    </mc:Choice>
  </mc:AlternateContent>
  <xr:revisionPtr revIDLastSave="0" documentId="13_ncr:1_{DF1DFB4B-91F0-452B-939D-F557113DA7BF}" xr6:coauthVersionLast="47" xr6:coauthVersionMax="47" xr10:uidLastSave="{00000000-0000-0000-0000-000000000000}"/>
  <bookViews>
    <workbookView xWindow="-105" yWindow="0" windowWidth="14610" windowHeight="17385" tabRatio="771" xr2:uid="{00000000-000D-0000-FFFF-FFFF00000000}"/>
  </bookViews>
  <sheets>
    <sheet name="Kalkulation" sheetId="21" r:id="rId1"/>
  </sheets>
  <definedNames>
    <definedName name="_Toc25142862" localSheetId="0">Kalkulation!#REF!</definedName>
    <definedName name="_Toc25142863" localSheetId="0">Kalkulation!#REF!</definedName>
    <definedName name="_Toc25142864" localSheetId="0">Kalkulation!#REF!</definedName>
    <definedName name="_Toc25142866" localSheetId="0">Kalkulation!#REF!</definedName>
    <definedName name="_Toc2606354" localSheetId="0">Kalkulation!#REF!</definedName>
    <definedName name="_xlnm.Database">#REF!</definedName>
    <definedName name="ggg">#REF!</definedName>
    <definedName name="_xlnm.Print_Area" localSheetId="0">Kalkulation!$A$1:$W$98</definedName>
    <definedName name="_xlnm.Print_Titles" localSheetId="0">Kalkulation!$1:$2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1" i="21" l="1"/>
  <c r="R31" i="21"/>
  <c r="Q31" i="21"/>
  <c r="O31" i="21"/>
  <c r="N31" i="21"/>
  <c r="M31" i="21"/>
  <c r="D36" i="21"/>
  <c r="K36" i="21"/>
  <c r="I36" i="21"/>
  <c r="O36" i="21"/>
  <c r="D49" i="21"/>
  <c r="N43" i="21"/>
  <c r="K43" i="21"/>
  <c r="O43" i="21" s="1"/>
  <c r="I43" i="21"/>
  <c r="M43" i="21" s="1"/>
  <c r="N87" i="21"/>
  <c r="K87" i="21"/>
  <c r="O87" i="21" s="1"/>
  <c r="I87" i="21"/>
  <c r="M87" i="21" s="1"/>
  <c r="N70" i="21"/>
  <c r="K70" i="21"/>
  <c r="O70" i="21" s="1"/>
  <c r="I70" i="21"/>
  <c r="M70" i="21" s="1"/>
  <c r="M36" i="21" l="1"/>
  <c r="N36" i="21"/>
  <c r="R43" i="21"/>
  <c r="S43" i="21" s="1"/>
  <c r="R87" i="21"/>
  <c r="S87" i="21" s="1"/>
  <c r="Q43" i="21"/>
  <c r="Q87" i="21"/>
  <c r="R70" i="21"/>
  <c r="S70" i="21" s="1"/>
  <c r="Q70" i="21"/>
  <c r="Q36" i="21" l="1"/>
  <c r="R36" i="21"/>
  <c r="S36" i="21" s="1"/>
  <c r="N77" i="21" l="1"/>
  <c r="K77" i="21"/>
  <c r="O77" i="21" s="1"/>
  <c r="I77" i="21"/>
  <c r="M77" i="21" s="1"/>
  <c r="Q77" i="21" l="1"/>
  <c r="R77" i="21"/>
  <c r="S77" i="21" s="1"/>
  <c r="D35" i="21"/>
  <c r="D34" i="21"/>
  <c r="D33" i="21"/>
  <c r="D32" i="21"/>
  <c r="K35" i="21"/>
  <c r="I35" i="21"/>
  <c r="K34" i="21"/>
  <c r="I34" i="21"/>
  <c r="K33" i="21"/>
  <c r="I33" i="21"/>
  <c r="K32" i="21"/>
  <c r="I32" i="21"/>
  <c r="D48" i="21"/>
  <c r="D47" i="21"/>
  <c r="D46" i="21"/>
  <c r="N42" i="21"/>
  <c r="K42" i="21"/>
  <c r="O42" i="21" s="1"/>
  <c r="I42" i="21"/>
  <c r="M42" i="21" s="1"/>
  <c r="N41" i="21"/>
  <c r="K41" i="21"/>
  <c r="O41" i="21" s="1"/>
  <c r="I41" i="21"/>
  <c r="M41" i="21" s="1"/>
  <c r="N40" i="21"/>
  <c r="K40" i="21"/>
  <c r="O40" i="21" s="1"/>
  <c r="I40" i="21"/>
  <c r="M40" i="21" s="1"/>
  <c r="N39" i="21"/>
  <c r="K39" i="21"/>
  <c r="O39" i="21" s="1"/>
  <c r="O38" i="21" s="1"/>
  <c r="I39" i="21"/>
  <c r="M39" i="21" s="1"/>
  <c r="N27" i="21"/>
  <c r="K27" i="21"/>
  <c r="O27" i="21" s="1"/>
  <c r="I27" i="21"/>
  <c r="M27" i="21" s="1"/>
  <c r="N26" i="21"/>
  <c r="K26" i="21"/>
  <c r="O26" i="21" s="1"/>
  <c r="I26" i="21"/>
  <c r="M26" i="21" s="1"/>
  <c r="N25" i="21"/>
  <c r="K25" i="21"/>
  <c r="O25" i="21" s="1"/>
  <c r="I25" i="21"/>
  <c r="M25" i="21" s="1"/>
  <c r="N24" i="21"/>
  <c r="K24" i="21"/>
  <c r="O24" i="21" s="1"/>
  <c r="I24" i="21"/>
  <c r="M24" i="21" s="1"/>
  <c r="N72" i="21"/>
  <c r="K72" i="21"/>
  <c r="O72" i="21" s="1"/>
  <c r="I72" i="21"/>
  <c r="M72" i="21" s="1"/>
  <c r="D15" i="21"/>
  <c r="D14" i="21"/>
  <c r="D13" i="21"/>
  <c r="D12" i="21"/>
  <c r="N53" i="21"/>
  <c r="K53" i="21"/>
  <c r="O53" i="21" s="1"/>
  <c r="I53" i="21"/>
  <c r="M53" i="21" s="1"/>
  <c r="K54" i="21"/>
  <c r="I54" i="21"/>
  <c r="M54" i="21" s="1"/>
  <c r="K52" i="21"/>
  <c r="I52" i="21"/>
  <c r="I55" i="21"/>
  <c r="K55" i="21"/>
  <c r="M38" i="21" l="1"/>
  <c r="N38" i="21"/>
  <c r="O23" i="21"/>
  <c r="M23" i="21"/>
  <c r="O32" i="21"/>
  <c r="N32" i="21"/>
  <c r="M32" i="21"/>
  <c r="M34" i="21"/>
  <c r="O34" i="21"/>
  <c r="N34" i="21"/>
  <c r="O35" i="21"/>
  <c r="N35" i="21"/>
  <c r="M35" i="21"/>
  <c r="O33" i="21"/>
  <c r="N33" i="21"/>
  <c r="M33" i="21"/>
  <c r="N23" i="21"/>
  <c r="Q39" i="21"/>
  <c r="Q42" i="21"/>
  <c r="Q26" i="21"/>
  <c r="R39" i="21"/>
  <c r="R41" i="21"/>
  <c r="S41" i="21" s="1"/>
  <c r="R40" i="21"/>
  <c r="S40" i="21" s="1"/>
  <c r="Q41" i="21"/>
  <c r="R42" i="21"/>
  <c r="S42" i="21" s="1"/>
  <c r="Q40" i="21"/>
  <c r="R25" i="21"/>
  <c r="S25" i="21" s="1"/>
  <c r="Q24" i="21"/>
  <c r="R26" i="21"/>
  <c r="S26" i="21" s="1"/>
  <c r="R27" i="21"/>
  <c r="S27" i="21" s="1"/>
  <c r="Q27" i="21"/>
  <c r="Q25" i="21"/>
  <c r="R24" i="21"/>
  <c r="Q72" i="21"/>
  <c r="R72" i="21"/>
  <c r="S72" i="21" s="1"/>
  <c r="R53" i="21"/>
  <c r="S53" i="21" s="1"/>
  <c r="Q53" i="21"/>
  <c r="O54" i="21"/>
  <c r="R54" i="21" s="1"/>
  <c r="S54" i="21" s="1"/>
  <c r="N54" i="21"/>
  <c r="O52" i="21"/>
  <c r="M55" i="21"/>
  <c r="M52" i="21"/>
  <c r="N52" i="21"/>
  <c r="O55" i="21"/>
  <c r="N55" i="21"/>
  <c r="S39" i="21" l="1"/>
  <c r="S38" i="21" s="1"/>
  <c r="R38" i="21"/>
  <c r="Q38" i="21"/>
  <c r="Q35" i="21"/>
  <c r="R32" i="21"/>
  <c r="R35" i="21"/>
  <c r="S35" i="21" s="1"/>
  <c r="R34" i="21"/>
  <c r="S34" i="21" s="1"/>
  <c r="Q33" i="21"/>
  <c r="Q34" i="21"/>
  <c r="Q23" i="21"/>
  <c r="Q32" i="21"/>
  <c r="R33" i="21"/>
  <c r="S33" i="21" s="1"/>
  <c r="S24" i="21"/>
  <c r="S23" i="21" s="1"/>
  <c r="R23" i="21"/>
  <c r="Q54" i="21"/>
  <c r="R52" i="21"/>
  <c r="S52" i="21" s="1"/>
  <c r="R55" i="21"/>
  <c r="S55" i="21" s="1"/>
  <c r="Q52" i="21"/>
  <c r="Q55" i="21"/>
  <c r="S32" i="21" l="1"/>
  <c r="K49" i="21"/>
  <c r="O49" i="21" s="1"/>
  <c r="I49" i="21"/>
  <c r="K47" i="21"/>
  <c r="I47" i="21"/>
  <c r="N47" i="21"/>
  <c r="K48" i="21"/>
  <c r="I48" i="21"/>
  <c r="K46" i="21"/>
  <c r="I46" i="21"/>
  <c r="O47" i="21" l="1"/>
  <c r="O48" i="21"/>
  <c r="M49" i="21"/>
  <c r="R49" i="21" s="1"/>
  <c r="S49" i="21" s="1"/>
  <c r="N49" i="21"/>
  <c r="M47" i="21"/>
  <c r="M48" i="21"/>
  <c r="N48" i="21"/>
  <c r="O46" i="21"/>
  <c r="M46" i="21"/>
  <c r="N46" i="21"/>
  <c r="Q49" i="21" l="1"/>
  <c r="Q47" i="21"/>
  <c r="Q48" i="21"/>
  <c r="R47" i="21"/>
  <c r="S47" i="21" s="1"/>
  <c r="Q46" i="21"/>
  <c r="R48" i="21"/>
  <c r="S48" i="21" s="1"/>
  <c r="R46" i="21"/>
  <c r="S46" i="21" l="1"/>
  <c r="N15" i="21" l="1"/>
  <c r="K15" i="21"/>
  <c r="O15" i="21" s="1"/>
  <c r="I15" i="21"/>
  <c r="M15" i="21" s="1"/>
  <c r="N14" i="21"/>
  <c r="K14" i="21"/>
  <c r="O14" i="21" s="1"/>
  <c r="I14" i="21"/>
  <c r="M14" i="21" s="1"/>
  <c r="N13" i="21"/>
  <c r="K13" i="21"/>
  <c r="O13" i="21" s="1"/>
  <c r="I13" i="21"/>
  <c r="M13" i="21" s="1"/>
  <c r="N20" i="21"/>
  <c r="K20" i="21"/>
  <c r="O20" i="21" s="1"/>
  <c r="I20" i="21"/>
  <c r="M20" i="21" s="1"/>
  <c r="N21" i="21"/>
  <c r="K21" i="21"/>
  <c r="O21" i="21" s="1"/>
  <c r="I21" i="21"/>
  <c r="M21" i="21" s="1"/>
  <c r="N19" i="21"/>
  <c r="K19" i="21"/>
  <c r="O19" i="21" s="1"/>
  <c r="I19" i="21"/>
  <c r="M19" i="21" s="1"/>
  <c r="N12" i="21"/>
  <c r="K12" i="21"/>
  <c r="O12" i="21" s="1"/>
  <c r="I12" i="21"/>
  <c r="M12" i="21" s="1"/>
  <c r="K18" i="21"/>
  <c r="I18" i="21"/>
  <c r="D64" i="21"/>
  <c r="N64" i="21" s="1"/>
  <c r="N65" i="21"/>
  <c r="N63" i="21"/>
  <c r="D9" i="21"/>
  <c r="N9" i="21" s="1"/>
  <c r="N8" i="21" s="1"/>
  <c r="N86" i="21"/>
  <c r="N85" i="21" s="1"/>
  <c r="K86" i="21"/>
  <c r="O86" i="21" s="1"/>
  <c r="O85" i="21" s="1"/>
  <c r="I86" i="21"/>
  <c r="M86" i="21" s="1"/>
  <c r="M85" i="21" s="1"/>
  <c r="K9" i="21"/>
  <c r="I9" i="21"/>
  <c r="N73" i="21"/>
  <c r="N81" i="21"/>
  <c r="K81" i="21"/>
  <c r="O81" i="21" s="1"/>
  <c r="I81" i="21"/>
  <c r="M81" i="21" s="1"/>
  <c r="N80" i="21"/>
  <c r="K80" i="21"/>
  <c r="O80" i="21" s="1"/>
  <c r="I80" i="21"/>
  <c r="M80" i="21" s="1"/>
  <c r="N79" i="21"/>
  <c r="K79" i="21"/>
  <c r="O79" i="21" s="1"/>
  <c r="I79" i="21"/>
  <c r="M79" i="21" s="1"/>
  <c r="N78" i="21"/>
  <c r="K78" i="21"/>
  <c r="O78" i="21" s="1"/>
  <c r="I78" i="21"/>
  <c r="M78" i="21" s="1"/>
  <c r="N76" i="21"/>
  <c r="K76" i="21"/>
  <c r="O76" i="21" s="1"/>
  <c r="I76" i="21"/>
  <c r="M76" i="21" s="1"/>
  <c r="N66" i="21"/>
  <c r="K66" i="21"/>
  <c r="O66" i="21" s="1"/>
  <c r="I66" i="21"/>
  <c r="M66" i="21" s="1"/>
  <c r="K65" i="21"/>
  <c r="I65" i="21"/>
  <c r="K64" i="21"/>
  <c r="I64" i="21"/>
  <c r="K63" i="21"/>
  <c r="I63" i="21"/>
  <c r="N91" i="21"/>
  <c r="K91" i="21"/>
  <c r="O91" i="21" s="1"/>
  <c r="I91" i="21"/>
  <c r="M91" i="21" s="1"/>
  <c r="K73" i="21"/>
  <c r="O73" i="21" s="1"/>
  <c r="I73" i="21"/>
  <c r="M73" i="21" s="1"/>
  <c r="N71" i="21"/>
  <c r="K71" i="21"/>
  <c r="O71" i="21" s="1"/>
  <c r="I71" i="21"/>
  <c r="M71" i="21" s="1"/>
  <c r="N69" i="21"/>
  <c r="K69" i="21"/>
  <c r="O69" i="21" s="1"/>
  <c r="I69" i="21"/>
  <c r="M69" i="21" s="1"/>
  <c r="N59" i="21"/>
  <c r="K59" i="21"/>
  <c r="O59" i="21" s="1"/>
  <c r="I59" i="21"/>
  <c r="M59" i="21" s="1"/>
  <c r="R15" i="21" l="1"/>
  <c r="S15" i="21" s="1"/>
  <c r="Q15" i="21"/>
  <c r="R14" i="21"/>
  <c r="S14" i="21" s="1"/>
  <c r="R13" i="21"/>
  <c r="S13" i="21" s="1"/>
  <c r="Q14" i="21"/>
  <c r="Q13" i="21"/>
  <c r="N11" i="21"/>
  <c r="Q21" i="21"/>
  <c r="R21" i="21"/>
  <c r="S21" i="21" s="1"/>
  <c r="Q19" i="21"/>
  <c r="R20" i="21"/>
  <c r="S20" i="21" s="1"/>
  <c r="Q20" i="21"/>
  <c r="R19" i="21"/>
  <c r="S19" i="21" s="1"/>
  <c r="N51" i="21"/>
  <c r="O45" i="21"/>
  <c r="M45" i="21"/>
  <c r="N45" i="21"/>
  <c r="Q12" i="21"/>
  <c r="R12" i="21"/>
  <c r="O11" i="21"/>
  <c r="M18" i="21"/>
  <c r="N18" i="21"/>
  <c r="O18" i="21"/>
  <c r="M64" i="21"/>
  <c r="O64" i="21"/>
  <c r="O65" i="21"/>
  <c r="M65" i="21"/>
  <c r="M63" i="21"/>
  <c r="O63" i="21"/>
  <c r="O9" i="21"/>
  <c r="O8" i="21" s="1"/>
  <c r="M9" i="21"/>
  <c r="M8" i="21" s="1"/>
  <c r="R86" i="21"/>
  <c r="Q86" i="21"/>
  <c r="Q85" i="21" s="1"/>
  <c r="R81" i="21"/>
  <c r="S81" i="21" s="1"/>
  <c r="N75" i="21"/>
  <c r="Q81" i="21"/>
  <c r="Q78" i="21"/>
  <c r="R78" i="21"/>
  <c r="S78" i="21" s="1"/>
  <c r="R76" i="21"/>
  <c r="S76" i="21" s="1"/>
  <c r="R80" i="21"/>
  <c r="S80" i="21" s="1"/>
  <c r="Q76" i="21"/>
  <c r="R79" i="21"/>
  <c r="S79" i="21" s="1"/>
  <c r="Q66" i="21"/>
  <c r="Q80" i="21"/>
  <c r="M75" i="21"/>
  <c r="Q79" i="21"/>
  <c r="O75" i="21"/>
  <c r="N62" i="21"/>
  <c r="R66" i="21"/>
  <c r="S66" i="21" s="1"/>
  <c r="Q91" i="21"/>
  <c r="R91" i="21"/>
  <c r="S91" i="21" s="1"/>
  <c r="R73" i="21"/>
  <c r="S73" i="21" s="1"/>
  <c r="Q71" i="21"/>
  <c r="R71" i="21"/>
  <c r="S71" i="21" s="1"/>
  <c r="N68" i="21"/>
  <c r="O68" i="21"/>
  <c r="Q73" i="21"/>
  <c r="Q69" i="21"/>
  <c r="R69" i="21"/>
  <c r="M68" i="21"/>
  <c r="R59" i="21"/>
  <c r="S59" i="21" s="1"/>
  <c r="Q59" i="21"/>
  <c r="S86" i="21" l="1"/>
  <c r="S85" i="21" s="1"/>
  <c r="R85" i="21"/>
  <c r="Q11" i="21"/>
  <c r="O17" i="21"/>
  <c r="N17" i="21"/>
  <c r="M17" i="21"/>
  <c r="R18" i="21"/>
  <c r="M51" i="21"/>
  <c r="M11" i="21"/>
  <c r="R45" i="21"/>
  <c r="O51" i="21"/>
  <c r="Q45" i="21"/>
  <c r="R63" i="21"/>
  <c r="S63" i="21" s="1"/>
  <c r="S12" i="21"/>
  <c r="Q63" i="21"/>
  <c r="R64" i="21"/>
  <c r="S64" i="21" s="1"/>
  <c r="Q18" i="21"/>
  <c r="Q64" i="21"/>
  <c r="M62" i="21"/>
  <c r="Q65" i="21"/>
  <c r="R65" i="21"/>
  <c r="S65" i="21" s="1"/>
  <c r="O62" i="21"/>
  <c r="R9" i="21"/>
  <c r="Q9" i="21"/>
  <c r="Q8" i="21" s="1"/>
  <c r="Q75" i="21"/>
  <c r="R75" i="21"/>
  <c r="Q68" i="21"/>
  <c r="R68" i="21"/>
  <c r="S69" i="21"/>
  <c r="Q17" i="21" l="1"/>
  <c r="Q51" i="21"/>
  <c r="S18" i="21"/>
  <c r="S17" i="21" s="1"/>
  <c r="R17" i="21"/>
  <c r="S11" i="21"/>
  <c r="R51" i="21"/>
  <c r="R11" i="21"/>
  <c r="S45" i="21"/>
  <c r="Q62" i="21"/>
  <c r="R62" i="21"/>
  <c r="S9" i="21"/>
  <c r="R8" i="21"/>
  <c r="S75" i="21"/>
  <c r="S62" i="21"/>
  <c r="S68" i="21"/>
  <c r="N60" i="21"/>
  <c r="K60" i="21"/>
  <c r="O60" i="21" s="1"/>
  <c r="I60" i="21"/>
  <c r="M60" i="21" s="1"/>
  <c r="S51" i="21" l="1"/>
  <c r="S8" i="21"/>
  <c r="Q60" i="21"/>
  <c r="R60" i="21"/>
  <c r="S60" i="21" s="1"/>
  <c r="N90" i="21" l="1"/>
  <c r="K90" i="21"/>
  <c r="O90" i="21" s="1"/>
  <c r="I90" i="21"/>
  <c r="M90" i="21" s="1"/>
  <c r="N58" i="21"/>
  <c r="K58" i="21"/>
  <c r="O58" i="21" s="1"/>
  <c r="O57" i="21" s="1"/>
  <c r="O29" i="21" s="1"/>
  <c r="I58" i="21"/>
  <c r="M58" i="21" s="1"/>
  <c r="M57" i="21" s="1"/>
  <c r="M29" i="21" s="1"/>
  <c r="N6" i="21"/>
  <c r="N5" i="21" s="1"/>
  <c r="N3" i="21" s="1"/>
  <c r="K6" i="21"/>
  <c r="O6" i="21" s="1"/>
  <c r="O5" i="21" s="1"/>
  <c r="O3" i="21" s="1"/>
  <c r="I6" i="21"/>
  <c r="M6" i="21" s="1"/>
  <c r="M5" i="21" s="1"/>
  <c r="M3" i="21" s="1"/>
  <c r="N57" i="21" l="1"/>
  <c r="N29" i="21" s="1"/>
  <c r="N89" i="21"/>
  <c r="N83" i="21" s="1"/>
  <c r="M89" i="21"/>
  <c r="M83" i="21" s="1"/>
  <c r="O89" i="21"/>
  <c r="O83" i="21" s="1"/>
  <c r="Q90" i="21"/>
  <c r="R90" i="21"/>
  <c r="Q58" i="21"/>
  <c r="Q57" i="21" s="1"/>
  <c r="Q29" i="21" s="1"/>
  <c r="R58" i="21"/>
  <c r="R57" i="21" s="1"/>
  <c r="R29" i="21" s="1"/>
  <c r="R6" i="21"/>
  <c r="R5" i="21" s="1"/>
  <c r="R3" i="21" s="1"/>
  <c r="Q6" i="21"/>
  <c r="Q5" i="21" s="1"/>
  <c r="Q3" i="21" s="1"/>
  <c r="S90" i="21" l="1"/>
  <c r="Q89" i="21"/>
  <c r="R89" i="21"/>
  <c r="R83" i="21" s="1"/>
  <c r="S58" i="21"/>
  <c r="S6" i="21"/>
  <c r="S57" i="21" l="1"/>
  <c r="S29" i="21" s="1"/>
  <c r="Q83" i="21"/>
  <c r="S5" i="21"/>
  <c r="S3" i="21" s="1"/>
  <c r="S89" i="21"/>
  <c r="S83" i="21" s="1"/>
  <c r="S93" i="21" l="1"/>
  <c r="U43" i="21" l="1"/>
  <c r="U36" i="21"/>
  <c r="U70" i="21"/>
  <c r="U87" i="21"/>
  <c r="U77" i="21"/>
  <c r="U34" i="21"/>
  <c r="U35" i="21"/>
  <c r="U33" i="21"/>
  <c r="U32" i="21"/>
  <c r="U40" i="21"/>
  <c r="U41" i="21"/>
  <c r="U39" i="21"/>
  <c r="U42" i="21"/>
  <c r="U26" i="21"/>
  <c r="U25" i="21"/>
  <c r="U27" i="21"/>
  <c r="U24" i="21"/>
  <c r="U53" i="21"/>
  <c r="U72" i="21"/>
  <c r="U52" i="21"/>
  <c r="U54" i="21"/>
  <c r="U55" i="21"/>
  <c r="U49" i="21"/>
  <c r="U48" i="21"/>
  <c r="U47" i="21"/>
  <c r="U46" i="21"/>
  <c r="U76" i="21"/>
  <c r="U12" i="21"/>
  <c r="U6" i="21"/>
  <c r="U5" i="21" s="1"/>
  <c r="U64" i="21"/>
  <c r="U86" i="21"/>
  <c r="U85" i="21" s="1"/>
  <c r="U58" i="21"/>
  <c r="U60" i="21"/>
  <c r="U79" i="21"/>
  <c r="U66" i="21"/>
  <c r="U91" i="21"/>
  <c r="U73" i="21"/>
  <c r="U65" i="21"/>
  <c r="U63" i="21"/>
  <c r="U69" i="21"/>
  <c r="U90" i="21"/>
  <c r="U59" i="21"/>
  <c r="U78" i="21"/>
  <c r="U9" i="21"/>
  <c r="U8" i="21" s="1"/>
  <c r="U18" i="21"/>
  <c r="U81" i="21"/>
  <c r="U21" i="21"/>
  <c r="U20" i="21"/>
  <c r="U15" i="21"/>
  <c r="U13" i="21"/>
  <c r="U14" i="21"/>
  <c r="U19" i="21"/>
  <c r="U71" i="21"/>
  <c r="U80" i="21"/>
  <c r="U31" i="21" l="1"/>
  <c r="U38" i="21"/>
  <c r="U23" i="21"/>
  <c r="U51" i="21"/>
  <c r="U45" i="21"/>
  <c r="U68" i="21"/>
  <c r="U62" i="21"/>
  <c r="U57" i="21"/>
  <c r="U89" i="21"/>
  <c r="U83" i="21" s="1"/>
  <c r="U75" i="21"/>
  <c r="U11" i="21"/>
  <c r="U17" i="21"/>
  <c r="U29" i="21" l="1"/>
  <c r="U3" i="21"/>
  <c r="U93" i="21" l="1"/>
</calcChain>
</file>

<file path=xl/sharedStrings.xml><?xml version="1.0" encoding="utf-8"?>
<sst xmlns="http://schemas.openxmlformats.org/spreadsheetml/2006/main" count="218" uniqueCount="106">
  <si>
    <t>PRIS I KR. PR ENHED</t>
  </si>
  <si>
    <t>PRIS I KR. SAMLET</t>
  </si>
  <si>
    <t>Mgd</t>
  </si>
  <si>
    <t>Enh.</t>
  </si>
  <si>
    <t>MIN</t>
  </si>
  <si>
    <t>SAN</t>
  </si>
  <si>
    <t>MAX</t>
  </si>
  <si>
    <t>MID</t>
  </si>
  <si>
    <t>STD</t>
  </si>
  <si>
    <t>VAR</t>
  </si>
  <si>
    <t>PRIORITET</t>
  </si>
  <si>
    <t>stk</t>
  </si>
  <si>
    <t>-</t>
  </si>
  <si>
    <t>m²</t>
  </si>
  <si>
    <t>lbm</t>
  </si>
  <si>
    <t>BEMÆRKNINGER</t>
  </si>
  <si>
    <t>WAYFINDING</t>
  </si>
  <si>
    <t>Malerbehandling søjler, Stue- til 4. sal</t>
  </si>
  <si>
    <t>Malerbehandling væg sokkel, Stue- til 4. sal</t>
  </si>
  <si>
    <t>Afrensning af gelændre, Stue- til 4. sal</t>
  </si>
  <si>
    <t>Malerbehandling af gelændre, Stue- til 4. sal</t>
  </si>
  <si>
    <t>Afrensnig af døre, indvendig side, Stue- til 4. sal</t>
  </si>
  <si>
    <t>Maling af døre, indvendig side, Stue- til 4. sal</t>
  </si>
  <si>
    <t>Afrensning af vinduer, indvendig side, Stue- til 4. sal</t>
  </si>
  <si>
    <t>Malerbehandling af vinduer, indvendig side, Stue- til 4. sal</t>
  </si>
  <si>
    <t>Malerbehandling af afløbrør, Stue, Stue- til 4. sal</t>
  </si>
  <si>
    <t>Malerbehandling af afløbsskåle, Stue- til 4. sal</t>
  </si>
  <si>
    <t>ca.</t>
  </si>
  <si>
    <t>ca.*</t>
  </si>
  <si>
    <t>NOTER</t>
  </si>
  <si>
    <t>*</t>
  </si>
  <si>
    <t>Felter markeret med kant er til indtastning af enhed, mængde, pris eller risiko</t>
  </si>
  <si>
    <t>Usik. -</t>
  </si>
  <si>
    <t>Usik. +</t>
  </si>
  <si>
    <t>Mængde fastlagt pba opmåling i digitalt tegningsgrundlag udeleveret af bygherre</t>
  </si>
  <si>
    <t>sum</t>
  </si>
  <si>
    <t>pba. tilbud indhentet fra Dansk Støbeasfalt</t>
  </si>
  <si>
    <t>ØVRIG AFRENSNING</t>
  </si>
  <si>
    <t>ØVRIG OVERFLADEBEHANDLING</t>
  </si>
  <si>
    <t>GULVE NYT SLIDLAG</t>
  </si>
  <si>
    <t>FACADER AFRENSNING</t>
  </si>
  <si>
    <t>FACADER OVERFLADEBEHANDLING</t>
  </si>
  <si>
    <t>VÆGOVERFLADER AFRENSNING</t>
  </si>
  <si>
    <t>VÆGOVERFLADER OVERFLADEBEHANDLING</t>
  </si>
  <si>
    <t>Afrensning af facade øst, syd og vest</t>
  </si>
  <si>
    <t>Svummemørtel øst, syd og vest</t>
  </si>
  <si>
    <t>MURERARBEJDER</t>
  </si>
  <si>
    <t>Mængde meddelt fastlagt af Bygherre dat. 14.02.2024</t>
  </si>
  <si>
    <t>Afrensning plane vægflader, Kemisk + Silk, Referenceareal</t>
  </si>
  <si>
    <t>Afrensning af bjælker, Kemisk + Silk, Referenceareal</t>
  </si>
  <si>
    <t>Malerbehandling plane vægflader, Referenceareal</t>
  </si>
  <si>
    <t>MALERARBEJDER</t>
  </si>
  <si>
    <t>ANDRE HÅNDVÆRK</t>
  </si>
  <si>
    <t>Udstøbning med bræddeforskalling, Stueetage</t>
  </si>
  <si>
    <t>Udstøbning med bræddeforskalling, 1. Sal</t>
  </si>
  <si>
    <t>Udstøbning med bræddeforskalling, 2. Sal</t>
  </si>
  <si>
    <t>Udstøbning med bræddeforskalling, 3. Sal</t>
  </si>
  <si>
    <t>OBS! Kalkulationen indeholder varianter der der indbyrdes udelukker hinanden, hvorfor en SUM ikke kan beregnes</t>
  </si>
  <si>
    <t>Udkradsning af beton-loftflade (ca. 5.8mm) for udstøbning, Stueetage</t>
  </si>
  <si>
    <t>Udkradsning af beton-loftflade (ca. 5.8mm) for udstøbning, 1. Sal</t>
  </si>
  <si>
    <t>Udkradsning af beton-loftflade (ca. 5.8mm) for udstøbning, 2. Sal</t>
  </si>
  <si>
    <t>Udkradsning af beton-loftflade (ca. 5.8mm) for udstøbning, 3. Sal</t>
  </si>
  <si>
    <t>A</t>
  </si>
  <si>
    <t>Arbejder er option der ved tilvalg udelukker anden option ("Partiel udebedring" og "Katodisk sikring" udelukker gensidigt hinanden)</t>
  </si>
  <si>
    <t>Afrensning af plane loftflader, Kemisk, Stueetage</t>
  </si>
  <si>
    <t>Afrensning af plane loftflader, Kemisk, 1. Sal</t>
  </si>
  <si>
    <t>Afrensning af plane loftflader, Kemisk, 2. Sal</t>
  </si>
  <si>
    <t>Afrensning af plane loftflader, Kemisk, 3. Sal</t>
  </si>
  <si>
    <t>Pudsning af lofter, Stueetage</t>
  </si>
  <si>
    <t>Pudsning af lofter, 1. Sal</t>
  </si>
  <si>
    <t>Pudsning af lofter, 2. Sal</t>
  </si>
  <si>
    <t>Pudsning af lofter, 3. Sal</t>
  </si>
  <si>
    <t>Malerbehandling af loftflader, Stueetage</t>
  </si>
  <si>
    <t>Malerbehandling af loftflader, 1. Sal</t>
  </si>
  <si>
    <t>Malerbehandling af loftflader, 2. Sal</t>
  </si>
  <si>
    <t>Malerbehandling af loftflader, 3. Sal</t>
  </si>
  <si>
    <t>Malerbehandling af pudsede loftflader, Stueetage</t>
  </si>
  <si>
    <t>Malerbehandling af pudsede loftflader, 3. Sal</t>
  </si>
  <si>
    <t>Malerbehandling af pudsede loftflader, 1. Sal</t>
  </si>
  <si>
    <t>Malerbehandling af pudsede loftflader, 2. Sal</t>
  </si>
  <si>
    <t>Skiltning, håndmalet, Stue- til 4. sal  (Bygherreleverence)</t>
  </si>
  <si>
    <t>I ALT SUM</t>
  </si>
  <si>
    <t>Areal i Stueetage medtager ikke lofter i Kontor, Toiletter, Kældergarage og tilstødende lokaler</t>
  </si>
  <si>
    <t>Areal medtager ike felter til udbedring i ING tegning.
Areal i Stueetage medtager ikke lofter i Kontor, Toiletter, Kældergarage og tilstødende lokaler</t>
  </si>
  <si>
    <t>Areal opmålt som = (felter til rep. i ARK tegning - felter til udbedring i ING tegning). Areal i Stueetage medtager ikke lofter i Kontor, Toiletter, Kældergarage og tilstødende lokaler</t>
  </si>
  <si>
    <t>Hedvandsafrensning af dækoverflader, Stue- til 4. sal</t>
  </si>
  <si>
    <t>Malerbehandling af bjælker, Stue- til 4. sal</t>
  </si>
  <si>
    <t>Afrensning søjler, Kemisk + Silk, Stue- til 4. sal</t>
  </si>
  <si>
    <t>Opstribning af dæk, Stue- til 4. sal  (Bygherreleverence)</t>
  </si>
  <si>
    <t>Udlægning af ny membran, Stue- til 4. sal</t>
  </si>
  <si>
    <t>LOFTER AFRENSNING VED PARTIEL UDBEDRING OPTION 1 (UDEN KATODISK SIKRING)</t>
  </si>
  <si>
    <t>LOFTER OVERFLADEBEHANDLING VED PARTIEL UDBEDRING OPTION 2 (UDEN KATODISK SIKRING)</t>
  </si>
  <si>
    <t>LOFTER OVERFLADEBEHANDLING VED KATODISK SIKRING OPTION 1</t>
  </si>
  <si>
    <t>LOFTER AFRENSNING VED KATODISK SIKRING OPTION 1</t>
  </si>
  <si>
    <t>Mængde jf. VVS TBL.</t>
  </si>
  <si>
    <t>LOFTER AFRENSNINGING VED PARTIEL UDBEDRING OPTION 2 (UDEN KATODISK SIKRING)</t>
  </si>
  <si>
    <t>Afrensning af plane loftflader, Hedvand, Stueetage</t>
  </si>
  <si>
    <t>Afrensning af plane loftflader, Hedvand, 1. Sal</t>
  </si>
  <si>
    <t>Afrensning af plane loftflader, Hedvand, 2. Sal</t>
  </si>
  <si>
    <t>Afrensning af plane loftflader, Hedvand, 3. Sal</t>
  </si>
  <si>
    <t>Malerbehandling af gelændre, Altaner</t>
  </si>
  <si>
    <t>Reviderede mængder markeret med gult er overført fra Tilbudsliste dat. 12.03.2024 på BIM360 A06 Udbudsprojekt</t>
  </si>
  <si>
    <t>Arbejder meddelt medtaget af Bygherre på fællesmøde dat. 08.03.2024. Mængde medtaget som oprindeligt afsat i Dispositionsprojektet.</t>
  </si>
  <si>
    <t>Udlægning af ny membran, Altaner</t>
  </si>
  <si>
    <t>Malerbehandling af loftflader, Altaner</t>
  </si>
  <si>
    <t>Afrensning af plane loftflader, Hedvand, Altaner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</si>
</sst>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r_._-;\-* #,##0.00\ _k_r_._-;_-* &quot;-&quot;??\ _k_r_._-;_-@_-"/>
    <numFmt numFmtId="165" formatCode="_ * #,##0.00_ ;_ * \-#,##0.00_ ;_ * &quot;-&quot;??_ ;_ @_ "/>
    <numFmt numFmtId="166" formatCode="_(* #,##0.00_);_(* \(#,##0.00\);_(* &quot;-&quot;??_);_(@_)"/>
    <numFmt numFmtId="167" formatCode="_(&quot;kr&quot;\ * #,##0.00_);_(&quot;kr&quot;\ * \(#,##0.00\);_(&quot;kr&quot;\ * &quot;-&quot;??_);_(@_)"/>
    <numFmt numFmtId="168" formatCode="0.0"/>
    <numFmt numFmtId="169" formatCode="#,##0_ ;\-#,##0\ "/>
    <numFmt numFmtId="170" formatCode="&quot;kr.&quot;\ #,##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Helv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theme="0" tint="-0.499984740745262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</borders>
  <cellStyleXfs count="24">
    <xf numFmtId="0" fontId="0" fillId="0" borderId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8" fillId="0" borderId="0"/>
    <xf numFmtId="0" fontId="5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0" borderId="0"/>
    <xf numFmtId="0" fontId="1" fillId="0" borderId="0"/>
    <xf numFmtId="0" fontId="13" fillId="0" borderId="0"/>
    <xf numFmtId="167" fontId="1" fillId="0" borderId="0" applyFont="0" applyFill="0" applyBorder="0" applyAlignment="0" applyProtection="0"/>
  </cellStyleXfs>
  <cellXfs count="153">
    <xf numFmtId="0" fontId="0" fillId="0" borderId="0" xfId="0"/>
    <xf numFmtId="2" fontId="2" fillId="0" borderId="0" xfId="0" applyNumberFormat="1" applyFont="1"/>
    <xf numFmtId="2" fontId="4" fillId="0" borderId="0" xfId="0" applyNumberFormat="1" applyFont="1"/>
    <xf numFmtId="170" fontId="2" fillId="0" borderId="0" xfId="0" applyNumberFormat="1" applyFont="1"/>
    <xf numFmtId="2" fontId="9" fillId="0" borderId="0" xfId="0" applyNumberFormat="1" applyFont="1"/>
    <xf numFmtId="165" fontId="4" fillId="0" borderId="0" xfId="0" applyNumberFormat="1" applyFont="1"/>
    <xf numFmtId="3" fontId="4" fillId="0" borderId="0" xfId="16" applyNumberFormat="1" applyFont="1" applyFill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4" fillId="0" borderId="0" xfId="0" applyNumberFormat="1" applyFont="1" applyAlignment="1">
      <alignment horizontal="center"/>
    </xf>
    <xf numFmtId="2" fontId="1" fillId="0" borderId="0" xfId="0" applyNumberFormat="1" applyFont="1"/>
    <xf numFmtId="1" fontId="10" fillId="0" borderId="0" xfId="16" applyNumberFormat="1" applyFont="1" applyFill="1" applyBorder="1" applyAlignment="1" applyProtection="1">
      <alignment horizontal="left" vertical="top"/>
      <protection locked="0"/>
    </xf>
    <xf numFmtId="3" fontId="2" fillId="0" borderId="0" xfId="0" applyNumberFormat="1" applyFont="1"/>
    <xf numFmtId="169" fontId="1" fillId="0" borderId="0" xfId="16" applyNumberFormat="1" applyFont="1" applyFill="1" applyBorder="1" applyAlignment="1" applyProtection="1">
      <alignment horizontal="right"/>
      <protection locked="0"/>
    </xf>
    <xf numFmtId="169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3" fontId="1" fillId="0" borderId="0" xfId="0" applyNumberFormat="1" applyFont="1"/>
    <xf numFmtId="165" fontId="1" fillId="0" borderId="0" xfId="16" applyNumberFormat="1" applyFont="1" applyFill="1" applyBorder="1" applyAlignment="1" applyProtection="1">
      <alignment horizontal="right"/>
      <protection locked="0"/>
    </xf>
    <xf numFmtId="3" fontId="1" fillId="0" borderId="0" xfId="0" applyNumberFormat="1" applyFont="1" applyProtection="1">
      <protection locked="0"/>
    </xf>
    <xf numFmtId="1" fontId="1" fillId="0" borderId="0" xfId="0" applyNumberFormat="1" applyFont="1" applyProtection="1">
      <protection locked="0"/>
    </xf>
    <xf numFmtId="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/>
    </xf>
    <xf numFmtId="2" fontId="4" fillId="3" borderId="0" xfId="0" applyNumberFormat="1" applyFont="1" applyFill="1" applyAlignment="1">
      <alignment vertical="top"/>
    </xf>
    <xf numFmtId="168" fontId="4" fillId="0" borderId="0" xfId="0" applyNumberFormat="1" applyFont="1" applyAlignment="1">
      <alignment horizontal="center"/>
    </xf>
    <xf numFmtId="9" fontId="1" fillId="0" borderId="1" xfId="0" applyNumberFormat="1" applyFont="1" applyBorder="1" applyAlignment="1" applyProtection="1">
      <alignment vertical="top"/>
      <protection locked="0"/>
    </xf>
    <xf numFmtId="2" fontId="4" fillId="2" borderId="0" xfId="0" applyNumberFormat="1" applyFont="1" applyFill="1" applyAlignment="1">
      <alignment vertical="top"/>
    </xf>
    <xf numFmtId="4" fontId="1" fillId="0" borderId="0" xfId="0" applyNumberFormat="1" applyFont="1" applyAlignment="1">
      <alignment horizontal="right" vertical="top"/>
    </xf>
    <xf numFmtId="4" fontId="4" fillId="3" borderId="0" xfId="0" applyNumberFormat="1" applyFont="1" applyFill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168" fontId="9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vertical="top"/>
    </xf>
    <xf numFmtId="169" fontId="1" fillId="0" borderId="0" xfId="16" applyNumberFormat="1" applyFont="1" applyFill="1" applyBorder="1" applyAlignment="1" applyProtection="1">
      <alignment horizontal="right" vertical="top"/>
      <protection locked="0"/>
    </xf>
    <xf numFmtId="3" fontId="1" fillId="3" borderId="0" xfId="0" applyNumberFormat="1" applyFont="1" applyFill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" fontId="1" fillId="0" borderId="0" xfId="0" applyNumberFormat="1" applyFont="1" applyAlignment="1" applyProtection="1">
      <alignment vertical="top"/>
      <protection locked="0"/>
    </xf>
    <xf numFmtId="169" fontId="1" fillId="0" borderId="0" xfId="0" applyNumberFormat="1" applyFont="1" applyAlignment="1">
      <alignment horizontal="right" vertical="top"/>
    </xf>
    <xf numFmtId="1" fontId="1" fillId="3" borderId="2" xfId="0" applyNumberFormat="1" applyFont="1" applyFill="1" applyBorder="1" applyAlignment="1" applyProtection="1">
      <alignment vertical="top"/>
      <protection locked="0"/>
    </xf>
    <xf numFmtId="9" fontId="1" fillId="3" borderId="2" xfId="0" applyNumberFormat="1" applyFont="1" applyFill="1" applyBorder="1" applyAlignment="1" applyProtection="1">
      <alignment vertical="top"/>
      <protection locked="0"/>
    </xf>
    <xf numFmtId="169" fontId="1" fillId="3" borderId="0" xfId="16" applyNumberFormat="1" applyFont="1" applyFill="1" applyBorder="1" applyAlignment="1" applyProtection="1">
      <alignment horizontal="right" vertical="top"/>
      <protection locked="0"/>
    </xf>
    <xf numFmtId="169" fontId="1" fillId="3" borderId="2" xfId="16" applyNumberFormat="1" applyFont="1" applyFill="1" applyBorder="1" applyAlignment="1" applyProtection="1">
      <alignment horizontal="right" vertical="top"/>
      <protection locked="0"/>
    </xf>
    <xf numFmtId="1" fontId="1" fillId="0" borderId="4" xfId="0" applyNumberFormat="1" applyFont="1" applyBorder="1" applyAlignment="1" applyProtection="1">
      <alignment vertical="top"/>
      <protection locked="0"/>
    </xf>
    <xf numFmtId="169" fontId="1" fillId="0" borderId="7" xfId="16" applyNumberFormat="1" applyFont="1" applyFill="1" applyBorder="1" applyAlignment="1" applyProtection="1">
      <alignment horizontal="right" vertical="top"/>
      <protection locked="0"/>
    </xf>
    <xf numFmtId="169" fontId="1" fillId="0" borderId="1" xfId="16" applyNumberFormat="1" applyFont="1" applyFill="1" applyBorder="1" applyAlignment="1" applyProtection="1">
      <alignment horizontal="right" vertical="top"/>
      <protection locked="0"/>
    </xf>
    <xf numFmtId="169" fontId="1" fillId="0" borderId="6" xfId="16" applyNumberFormat="1" applyFont="1" applyFill="1" applyBorder="1" applyAlignment="1" applyProtection="1">
      <alignment horizontal="right" vertical="top"/>
      <protection locked="0"/>
    </xf>
    <xf numFmtId="9" fontId="1" fillId="0" borderId="0" xfId="0" applyNumberFormat="1" applyFont="1" applyAlignment="1" applyProtection="1">
      <alignment vertical="top"/>
      <protection locked="0"/>
    </xf>
    <xf numFmtId="3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9" fillId="0" borderId="0" xfId="0" applyNumberFormat="1" applyFont="1" applyAlignment="1">
      <alignment vertical="top"/>
    </xf>
    <xf numFmtId="169" fontId="1" fillId="0" borderId="5" xfId="16" applyNumberFormat="1" applyFont="1" applyFill="1" applyBorder="1" applyAlignment="1" applyProtection="1">
      <alignment horizontal="right" vertical="top"/>
      <protection locked="0"/>
    </xf>
    <xf numFmtId="49" fontId="1" fillId="0" borderId="0" xfId="0" applyNumberFormat="1" applyFont="1" applyAlignment="1">
      <alignment vertical="top"/>
    </xf>
    <xf numFmtId="1" fontId="1" fillId="0" borderId="5" xfId="0" applyNumberFormat="1" applyFont="1" applyBorder="1" applyAlignment="1" applyProtection="1">
      <alignment vertical="top"/>
      <protection locked="0"/>
    </xf>
    <xf numFmtId="9" fontId="1" fillId="0" borderId="5" xfId="0" applyNumberFormat="1" applyFont="1" applyBorder="1" applyAlignment="1" applyProtection="1">
      <alignment vertical="top"/>
      <protection locked="0"/>
    </xf>
    <xf numFmtId="2" fontId="1" fillId="0" borderId="0" xfId="0" applyNumberFormat="1" applyFont="1" applyAlignment="1">
      <alignment vertical="top" wrapText="1"/>
    </xf>
    <xf numFmtId="4" fontId="1" fillId="3" borderId="0" xfId="0" applyNumberFormat="1" applyFont="1" applyFill="1" applyAlignment="1">
      <alignment horizontal="left" vertical="top"/>
    </xf>
    <xf numFmtId="2" fontId="4" fillId="0" borderId="0" xfId="0" applyNumberFormat="1" applyFont="1" applyAlignment="1">
      <alignment horizontal="right" indent="1"/>
    </xf>
    <xf numFmtId="3" fontId="1" fillId="3" borderId="2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Alignment="1" applyProtection="1">
      <alignment vertical="top"/>
      <protection locked="0"/>
    </xf>
    <xf numFmtId="3" fontId="1" fillId="0" borderId="4" xfId="0" applyNumberFormat="1" applyFont="1" applyBorder="1" applyAlignment="1" applyProtection="1">
      <alignment vertical="top"/>
      <protection locked="0"/>
    </xf>
    <xf numFmtId="3" fontId="1" fillId="0" borderId="5" xfId="0" applyNumberFormat="1" applyFont="1" applyBorder="1" applyAlignment="1" applyProtection="1">
      <alignment vertical="top"/>
      <protection locked="0"/>
    </xf>
    <xf numFmtId="2" fontId="4" fillId="0" borderId="0" xfId="0" applyNumberFormat="1" applyFont="1" applyAlignment="1">
      <alignment horizontal="left" vertical="top"/>
    </xf>
    <xf numFmtId="2" fontId="4" fillId="2" borderId="0" xfId="0" applyNumberFormat="1" applyFont="1" applyFill="1" applyAlignment="1">
      <alignment horizontal="left" vertical="top"/>
    </xf>
    <xf numFmtId="2" fontId="4" fillId="3" borderId="0" xfId="0" applyNumberFormat="1" applyFont="1" applyFill="1" applyAlignment="1">
      <alignment horizontal="left" vertical="top"/>
    </xf>
    <xf numFmtId="2" fontId="1" fillId="0" borderId="3" xfId="0" applyNumberFormat="1" applyFont="1" applyBorder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165" fontId="4" fillId="0" borderId="0" xfId="0" applyNumberFormat="1" applyFont="1" applyAlignment="1">
      <alignment horizontal="left" vertical="top"/>
    </xf>
    <xf numFmtId="2" fontId="4" fillId="0" borderId="0" xfId="0" applyNumberFormat="1" applyFont="1" applyAlignment="1">
      <alignment horizontal="left"/>
    </xf>
    <xf numFmtId="2" fontId="4" fillId="4" borderId="0" xfId="0" applyNumberFormat="1" applyFont="1" applyFill="1" applyAlignment="1">
      <alignment vertical="top"/>
    </xf>
    <xf numFmtId="2" fontId="4" fillId="4" borderId="0" xfId="0" applyNumberFormat="1" applyFont="1" applyFill="1" applyAlignment="1">
      <alignment horizontal="left" vertical="top"/>
    </xf>
    <xf numFmtId="3" fontId="1" fillId="4" borderId="0" xfId="0" applyNumberFormat="1" applyFont="1" applyFill="1" applyProtection="1">
      <protection locked="0"/>
    </xf>
    <xf numFmtId="2" fontId="1" fillId="4" borderId="0" xfId="0" applyNumberFormat="1" applyFont="1" applyFill="1" applyProtection="1">
      <protection locked="0"/>
    </xf>
    <xf numFmtId="165" fontId="1" fillId="4" borderId="0" xfId="16" applyNumberFormat="1" applyFont="1" applyFill="1" applyBorder="1" applyAlignment="1" applyProtection="1">
      <alignment horizontal="right"/>
      <protection locked="0"/>
    </xf>
    <xf numFmtId="169" fontId="4" fillId="4" borderId="0" xfId="0" applyNumberFormat="1" applyFont="1" applyFill="1" applyAlignment="1">
      <alignment horizontal="right"/>
    </xf>
    <xf numFmtId="4" fontId="4" fillId="4" borderId="0" xfId="0" applyNumberFormat="1" applyFont="1" applyFill="1" applyAlignment="1">
      <alignment horizontal="left"/>
    </xf>
    <xf numFmtId="3" fontId="1" fillId="2" borderId="2" xfId="0" applyNumberFormat="1" applyFont="1" applyFill="1" applyBorder="1" applyAlignment="1" applyProtection="1">
      <alignment vertical="top"/>
      <protection locked="0"/>
    </xf>
    <xf numFmtId="1" fontId="1" fillId="2" borderId="2" xfId="0" applyNumberFormat="1" applyFont="1" applyFill="1" applyBorder="1" applyAlignment="1" applyProtection="1">
      <alignment vertical="top"/>
      <protection locked="0"/>
    </xf>
    <xf numFmtId="9" fontId="1" fillId="2" borderId="2" xfId="0" applyNumberFormat="1" applyFont="1" applyFill="1" applyBorder="1" applyAlignment="1" applyProtection="1">
      <alignment vertical="top"/>
      <protection locked="0"/>
    </xf>
    <xf numFmtId="169" fontId="1" fillId="2" borderId="0" xfId="16" applyNumberFormat="1" applyFont="1" applyFill="1" applyBorder="1" applyAlignment="1" applyProtection="1">
      <alignment horizontal="right" vertical="top"/>
      <protection locked="0"/>
    </xf>
    <xf numFmtId="169" fontId="1" fillId="2" borderId="2" xfId="16" applyNumberFormat="1" applyFont="1" applyFill="1" applyBorder="1" applyAlignment="1" applyProtection="1">
      <alignment horizontal="right" vertical="top"/>
      <protection locked="0"/>
    </xf>
    <xf numFmtId="3" fontId="1" fillId="2" borderId="0" xfId="0" applyNumberFormat="1" applyFont="1" applyFill="1" applyAlignment="1">
      <alignment horizontal="right" vertical="top"/>
    </xf>
    <xf numFmtId="4" fontId="4" fillId="2" borderId="0" xfId="0" applyNumberFormat="1" applyFont="1" applyFill="1" applyAlignment="1">
      <alignment horizontal="left" vertical="top"/>
    </xf>
    <xf numFmtId="4" fontId="1" fillId="2" borderId="0" xfId="0" applyNumberFormat="1" applyFont="1" applyFill="1" applyAlignment="1">
      <alignment horizontal="left" vertical="top"/>
    </xf>
    <xf numFmtId="165" fontId="1" fillId="5" borderId="0" xfId="0" applyNumberFormat="1" applyFont="1" applyFill="1" applyAlignment="1">
      <alignment horizontal="right" vertical="top"/>
    </xf>
    <xf numFmtId="3" fontId="4" fillId="5" borderId="0" xfId="0" applyNumberFormat="1" applyFont="1" applyFill="1" applyAlignment="1">
      <alignment horizontal="right" vertical="top"/>
    </xf>
    <xf numFmtId="165" fontId="4" fillId="5" borderId="0" xfId="0" applyNumberFormat="1" applyFont="1" applyFill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left" indent="2"/>
    </xf>
    <xf numFmtId="3" fontId="4" fillId="6" borderId="0" xfId="0" applyNumberFormat="1" applyFont="1" applyFill="1" applyAlignment="1">
      <alignment horizontal="right" vertical="top"/>
    </xf>
    <xf numFmtId="4" fontId="1" fillId="6" borderId="0" xfId="0" applyNumberFormat="1" applyFont="1" applyFill="1" applyAlignment="1">
      <alignment horizontal="left" vertical="top"/>
    </xf>
    <xf numFmtId="2" fontId="14" fillId="0" borderId="0" xfId="0" applyNumberFormat="1" applyFont="1" applyAlignment="1">
      <alignment vertical="top"/>
    </xf>
    <xf numFmtId="168" fontId="4" fillId="0" borderId="0" xfId="0" applyNumberFormat="1" applyFont="1" applyAlignment="1">
      <alignment horizontal="left"/>
    </xf>
    <xf numFmtId="2" fontId="15" fillId="0" borderId="0" xfId="0" applyNumberFormat="1" applyFont="1" applyAlignment="1">
      <alignment vertical="top"/>
    </xf>
    <xf numFmtId="2" fontId="4" fillId="7" borderId="0" xfId="0" applyNumberFormat="1" applyFont="1" applyFill="1" applyAlignment="1">
      <alignment vertical="top"/>
    </xf>
    <xf numFmtId="2" fontId="4" fillId="7" borderId="0" xfId="0" applyNumberFormat="1" applyFont="1" applyFill="1" applyAlignment="1">
      <alignment horizontal="left" vertical="top"/>
    </xf>
    <xf numFmtId="3" fontId="1" fillId="7" borderId="2" xfId="0" applyNumberFormat="1" applyFont="1" applyFill="1" applyBorder="1" applyAlignment="1" applyProtection="1">
      <alignment vertical="top"/>
      <protection locked="0"/>
    </xf>
    <xf numFmtId="1" fontId="1" fillId="7" borderId="2" xfId="0" applyNumberFormat="1" applyFont="1" applyFill="1" applyBorder="1" applyAlignment="1" applyProtection="1">
      <alignment vertical="top"/>
      <protection locked="0"/>
    </xf>
    <xf numFmtId="9" fontId="1" fillId="7" borderId="2" xfId="0" applyNumberFormat="1" applyFont="1" applyFill="1" applyBorder="1" applyAlignment="1" applyProtection="1">
      <alignment vertical="top"/>
      <protection locked="0"/>
    </xf>
    <xf numFmtId="2" fontId="4" fillId="8" borderId="0" xfId="0" applyNumberFormat="1" applyFont="1" applyFill="1" applyAlignment="1">
      <alignment vertical="top"/>
    </xf>
    <xf numFmtId="2" fontId="4" fillId="8" borderId="0" xfId="0" applyNumberFormat="1" applyFont="1" applyFill="1" applyAlignment="1">
      <alignment horizontal="left" vertical="top"/>
    </xf>
    <xf numFmtId="3" fontId="1" fillId="8" borderId="2" xfId="0" applyNumberFormat="1" applyFont="1" applyFill="1" applyBorder="1" applyAlignment="1" applyProtection="1">
      <alignment vertical="top"/>
      <protection locked="0"/>
    </xf>
    <xf numFmtId="1" fontId="1" fillId="8" borderId="2" xfId="0" applyNumberFormat="1" applyFont="1" applyFill="1" applyBorder="1" applyAlignment="1" applyProtection="1">
      <alignment vertical="top"/>
      <protection locked="0"/>
    </xf>
    <xf numFmtId="9" fontId="1" fillId="8" borderId="2" xfId="0" applyNumberFormat="1" applyFont="1" applyFill="1" applyBorder="1" applyAlignment="1" applyProtection="1">
      <alignment vertical="top"/>
      <protection locked="0"/>
    </xf>
    <xf numFmtId="169" fontId="1" fillId="8" borderId="0" xfId="16" applyNumberFormat="1" applyFont="1" applyFill="1" applyBorder="1" applyAlignment="1" applyProtection="1">
      <alignment horizontal="right" vertical="top"/>
      <protection locked="0"/>
    </xf>
    <xf numFmtId="169" fontId="1" fillId="8" borderId="2" xfId="16" applyNumberFormat="1" applyFont="1" applyFill="1" applyBorder="1" applyAlignment="1" applyProtection="1">
      <alignment horizontal="right" vertical="top"/>
      <protection locked="0"/>
    </xf>
    <xf numFmtId="3" fontId="1" fillId="8" borderId="0" xfId="0" applyNumberFormat="1" applyFont="1" applyFill="1" applyAlignment="1">
      <alignment horizontal="right" vertical="top"/>
    </xf>
    <xf numFmtId="4" fontId="4" fillId="8" borderId="0" xfId="0" applyNumberFormat="1" applyFont="1" applyFill="1" applyAlignment="1">
      <alignment horizontal="left" vertical="top"/>
    </xf>
    <xf numFmtId="4" fontId="1" fillId="8" borderId="0" xfId="0" applyNumberFormat="1" applyFont="1" applyFill="1" applyAlignment="1">
      <alignment horizontal="left" vertical="top"/>
    </xf>
    <xf numFmtId="169" fontId="1" fillId="7" borderId="0" xfId="16" applyNumberFormat="1" applyFont="1" applyFill="1" applyBorder="1" applyAlignment="1" applyProtection="1">
      <alignment horizontal="right" vertical="top"/>
      <protection locked="0"/>
    </xf>
    <xf numFmtId="169" fontId="1" fillId="7" borderId="2" xfId="16" applyNumberFormat="1" applyFont="1" applyFill="1" applyBorder="1" applyAlignment="1" applyProtection="1">
      <alignment horizontal="right" vertical="top"/>
      <protection locked="0"/>
    </xf>
    <xf numFmtId="3" fontId="1" fillId="7" borderId="0" xfId="0" applyNumberFormat="1" applyFont="1" applyFill="1" applyAlignment="1">
      <alignment horizontal="right" vertical="top"/>
    </xf>
    <xf numFmtId="4" fontId="4" fillId="7" borderId="0" xfId="0" applyNumberFormat="1" applyFont="1" applyFill="1" applyAlignment="1">
      <alignment horizontal="left" vertical="top"/>
    </xf>
    <xf numFmtId="4" fontId="1" fillId="7" borderId="0" xfId="0" applyNumberFormat="1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1" fontId="1" fillId="0" borderId="1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center"/>
    </xf>
    <xf numFmtId="1" fontId="10" fillId="0" borderId="0" xfId="0" applyNumberFormat="1" applyFont="1" applyAlignment="1">
      <alignment horizontal="left" vertical="top"/>
    </xf>
    <xf numFmtId="1" fontId="11" fillId="0" borderId="0" xfId="0" applyNumberFormat="1" applyFont="1" applyAlignment="1">
      <alignment horizontal="left" vertical="top"/>
    </xf>
    <xf numFmtId="2" fontId="4" fillId="0" borderId="1" xfId="0" applyNumberFormat="1" applyFont="1" applyBorder="1" applyAlignment="1">
      <alignment horizontal="left"/>
    </xf>
    <xf numFmtId="2" fontId="14" fillId="0" borderId="0" xfId="0" applyNumberFormat="1" applyFont="1" applyAlignment="1">
      <alignment horizontal="left"/>
    </xf>
    <xf numFmtId="170" fontId="1" fillId="0" borderId="0" xfId="0" applyNumberFormat="1" applyFont="1"/>
    <xf numFmtId="169" fontId="4" fillId="0" borderId="0" xfId="0" applyNumberFormat="1" applyFont="1" applyAlignment="1">
      <alignment horizontal="right"/>
    </xf>
    <xf numFmtId="3" fontId="4" fillId="6" borderId="0" xfId="16" applyNumberFormat="1" applyFont="1" applyFill="1" applyBorder="1" applyAlignment="1">
      <alignment horizontal="right" vertical="top"/>
    </xf>
    <xf numFmtId="4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" fontId="1" fillId="0" borderId="8" xfId="0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2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4" fillId="0" borderId="0" xfId="0" applyNumberFormat="1" applyFont="1" applyAlignment="1">
      <alignment vertical="top"/>
    </xf>
    <xf numFmtId="0" fontId="0" fillId="0" borderId="0" xfId="0"/>
    <xf numFmtId="3" fontId="1" fillId="9" borderId="4" xfId="0" applyNumberFormat="1" applyFont="1" applyFill="1" applyBorder="1" applyAlignment="1" applyProtection="1">
      <alignment vertical="top"/>
      <protection locked="0"/>
    </xf>
    <xf numFmtId="2" fontId="1" fillId="9" borderId="0" xfId="0" applyNumberFormat="1" applyFont="1" applyFill="1" applyAlignment="1">
      <alignment vertical="top"/>
    </xf>
    <xf numFmtId="49" fontId="1" fillId="9" borderId="0" xfId="0" applyNumberFormat="1" applyFont="1" applyFill="1" applyAlignment="1">
      <alignment vertical="top"/>
    </xf>
    <xf numFmtId="2" fontId="1" fillId="9" borderId="3" xfId="0" applyNumberFormat="1" applyFont="1" applyFill="1" applyBorder="1" applyAlignment="1">
      <alignment horizontal="left" vertical="top"/>
    </xf>
    <xf numFmtId="1" fontId="1" fillId="9" borderId="4" xfId="0" applyNumberFormat="1" applyFont="1" applyFill="1" applyBorder="1" applyAlignment="1" applyProtection="1">
      <alignment vertical="top"/>
      <protection locked="0"/>
    </xf>
    <xf numFmtId="9" fontId="1" fillId="9" borderId="1" xfId="0" applyNumberFormat="1" applyFont="1" applyFill="1" applyBorder="1" applyAlignment="1" applyProtection="1">
      <alignment vertical="top"/>
      <protection locked="0"/>
    </xf>
    <xf numFmtId="169" fontId="1" fillId="9" borderId="7" xfId="16" applyNumberFormat="1" applyFont="1" applyFill="1" applyBorder="1" applyAlignment="1" applyProtection="1">
      <alignment horizontal="right" vertical="top"/>
      <protection locked="0"/>
    </xf>
    <xf numFmtId="169" fontId="1" fillId="9" borderId="1" xfId="16" applyNumberFormat="1" applyFont="1" applyFill="1" applyBorder="1" applyAlignment="1" applyProtection="1">
      <alignment horizontal="right" vertical="top"/>
      <protection locked="0"/>
    </xf>
    <xf numFmtId="169" fontId="1" fillId="9" borderId="6" xfId="16" applyNumberFormat="1" applyFont="1" applyFill="1" applyBorder="1" applyAlignment="1" applyProtection="1">
      <alignment horizontal="right" vertical="top"/>
      <protection locked="0"/>
    </xf>
    <xf numFmtId="169" fontId="1" fillId="9" borderId="0" xfId="0" applyNumberFormat="1" applyFont="1" applyFill="1" applyAlignment="1">
      <alignment horizontal="right" vertical="top"/>
    </xf>
    <xf numFmtId="3" fontId="1" fillId="9" borderId="0" xfId="0" applyNumberFormat="1" applyFont="1" applyFill="1" applyAlignment="1">
      <alignment horizontal="right" vertical="top"/>
    </xf>
    <xf numFmtId="4" fontId="1" fillId="9" borderId="0" xfId="0" applyNumberFormat="1" applyFont="1" applyFill="1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" fontId="1" fillId="9" borderId="0" xfId="0" applyNumberFormat="1" applyFont="1" applyFill="1" applyBorder="1" applyAlignment="1">
      <alignment horizontal="left" vertical="top" wrapText="1"/>
    </xf>
    <xf numFmtId="0" fontId="0" fillId="9" borderId="9" xfId="0" applyFill="1" applyBorder="1" applyAlignment="1">
      <alignment horizontal="left" vertical="top" wrapText="1"/>
    </xf>
    <xf numFmtId="4" fontId="1" fillId="9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2" fontId="15" fillId="9" borderId="0" xfId="0" applyNumberFormat="1" applyFont="1" applyFill="1" applyAlignment="1">
      <alignment vertical="top"/>
    </xf>
  </cellXfs>
  <cellStyles count="24">
    <cellStyle name="Komma 2" xfId="1" xr:uid="{00000000-0005-0000-0000-000001000000}"/>
    <cellStyle name="Komma 2 2" xfId="2" xr:uid="{00000000-0005-0000-0000-000002000000}"/>
    <cellStyle name="Komma 3" xfId="3" xr:uid="{00000000-0005-0000-0000-000003000000}"/>
    <cellStyle name="Komma 4" xfId="4" xr:uid="{00000000-0005-0000-0000-000004000000}"/>
    <cellStyle name="Komma 5" xfId="5" xr:uid="{00000000-0005-0000-0000-000005000000}"/>
    <cellStyle name="Normal" xfId="0" builtinId="0"/>
    <cellStyle name="Normal 2" xfId="6" xr:uid="{00000000-0005-0000-0000-000007000000}"/>
    <cellStyle name="Normal 2 2" xfId="21" xr:uid="{0C90A064-27DB-4004-84F5-0CA7F1BD85A7}"/>
    <cellStyle name="Normal 2 2 2 2" xfId="7" xr:uid="{00000000-0005-0000-0000-000008000000}"/>
    <cellStyle name="Normal 3" xfId="8" xr:uid="{00000000-0005-0000-0000-000009000000}"/>
    <cellStyle name="Normal 3 2" xfId="22" xr:uid="{B786B9A0-2165-4A26-8D2F-5DAF6B882A0C}"/>
    <cellStyle name="Normal 4" xfId="9" xr:uid="{00000000-0005-0000-0000-00000A000000}"/>
    <cellStyle name="Normal 5" xfId="10" xr:uid="{00000000-0005-0000-0000-00000B000000}"/>
    <cellStyle name="Normal 6" xfId="20" xr:uid="{2848E9D0-2E18-4658-97D2-B26C299C0D64}"/>
    <cellStyle name="Procent 2" xfId="11" xr:uid="{00000000-0005-0000-0000-00000C000000}"/>
    <cellStyle name="Procent 2 2" xfId="12" xr:uid="{00000000-0005-0000-0000-00000D000000}"/>
    <cellStyle name="Procent 3" xfId="13" xr:uid="{00000000-0005-0000-0000-00000E000000}"/>
    <cellStyle name="Procent 4" xfId="14" xr:uid="{00000000-0005-0000-0000-00000F000000}"/>
    <cellStyle name="Procent 5" xfId="15" xr:uid="{00000000-0005-0000-0000-000010000000}"/>
    <cellStyle name="Valuta" xfId="16" builtinId="4"/>
    <cellStyle name="Valuta 2" xfId="17" xr:uid="{00000000-0005-0000-0000-000011000000}"/>
    <cellStyle name="Valuta 2 2" xfId="18" xr:uid="{00000000-0005-0000-0000-000012000000}"/>
    <cellStyle name="Valuta 2 3" xfId="23" xr:uid="{B27DBFC6-AC89-4499-B490-51D8332C0A8F}"/>
    <cellStyle name="Valuta 3" xfId="19" xr:uid="{00000000-0005-0000-0000-000013000000}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X98"/>
  <sheetViews>
    <sheetView tabSelected="1" view="pageBreakPreview" topLeftCell="A45" zoomScaleNormal="85" zoomScaleSheetLayoutView="75" zoomScalePageLayoutView="85" workbookViewId="0">
      <selection activeCell="B77" sqref="B77"/>
    </sheetView>
  </sheetViews>
  <sheetFormatPr defaultColWidth="9.28515625" defaultRowHeight="12.75" x14ac:dyDescent="0.2"/>
  <cols>
    <col min="1" max="1" width="8.85546875" style="2" customWidth="1"/>
    <col min="2" max="2" width="64.140625" style="2" customWidth="1"/>
    <col min="3" max="3" width="4" style="67" customWidth="1"/>
    <col min="4" max="4" width="6.7109375" style="11" customWidth="1"/>
    <col min="5" max="5" width="6.7109375" style="1" customWidth="1"/>
    <col min="6" max="7" width="8.7109375" style="1" customWidth="1"/>
    <col min="8" max="8" width="2.7109375" style="118" customWidth="1"/>
    <col min="9" max="11" width="12.7109375" style="3" customWidth="1"/>
    <col min="12" max="12" width="2.7109375" style="3" customWidth="1"/>
    <col min="13" max="15" width="12.7109375" style="1" customWidth="1"/>
    <col min="16" max="16" width="2.7109375" style="3" customWidth="1"/>
    <col min="17" max="17" width="12.7109375" style="1" customWidth="1"/>
    <col min="18" max="18" width="15" style="1" customWidth="1"/>
    <col min="19" max="19" width="12.7109375" style="4" customWidth="1"/>
    <col min="20" max="20" width="2.85546875" style="4" customWidth="1"/>
    <col min="21" max="21" width="11.85546875" style="15" customWidth="1"/>
    <col min="22" max="22" width="2.85546875" style="4" customWidth="1"/>
    <col min="23" max="23" width="62.85546875" style="15" customWidth="1"/>
    <col min="24" max="24" width="13.85546875" style="1" customWidth="1"/>
    <col min="25" max="16384" width="9.28515625" style="1"/>
  </cols>
  <sheetData>
    <row r="1" spans="1:24" ht="15" customHeight="1" x14ac:dyDescent="0.2">
      <c r="A1" s="22"/>
      <c r="B1" s="22"/>
      <c r="C1" s="61"/>
      <c r="D1" s="16"/>
      <c r="E1" s="9"/>
      <c r="F1" s="9"/>
      <c r="G1" s="9"/>
      <c r="I1" s="129" t="s">
        <v>0</v>
      </c>
      <c r="J1" s="130"/>
      <c r="K1" s="130"/>
      <c r="L1" s="117"/>
      <c r="M1" s="129" t="s">
        <v>1</v>
      </c>
      <c r="N1" s="130"/>
      <c r="O1" s="130"/>
      <c r="P1" s="117"/>
      <c r="Q1" s="7"/>
      <c r="R1" s="7"/>
      <c r="S1" s="7"/>
      <c r="T1" s="7"/>
      <c r="V1" s="7"/>
      <c r="X1" s="9"/>
    </row>
    <row r="2" spans="1:24" x14ac:dyDescent="0.2">
      <c r="A2" s="22"/>
      <c r="B2" s="22"/>
      <c r="C2" s="131" t="s">
        <v>2</v>
      </c>
      <c r="D2" s="132"/>
      <c r="E2" s="2" t="s">
        <v>3</v>
      </c>
      <c r="F2" s="2" t="s">
        <v>32</v>
      </c>
      <c r="G2" s="2" t="s">
        <v>33</v>
      </c>
      <c r="H2" s="119"/>
      <c r="I2" s="8" t="s">
        <v>4</v>
      </c>
      <c r="J2" s="8" t="s">
        <v>5</v>
      </c>
      <c r="K2" s="8" t="s">
        <v>6</v>
      </c>
      <c r="L2" s="8"/>
      <c r="M2" s="7" t="s">
        <v>4</v>
      </c>
      <c r="N2" s="7" t="s">
        <v>5</v>
      </c>
      <c r="O2" s="7" t="s">
        <v>6</v>
      </c>
      <c r="P2" s="8"/>
      <c r="Q2" s="7" t="s">
        <v>7</v>
      </c>
      <c r="R2" s="7" t="s">
        <v>8</v>
      </c>
      <c r="S2" s="7" t="s">
        <v>9</v>
      </c>
      <c r="T2" s="7"/>
      <c r="U2" s="24" t="s">
        <v>10</v>
      </c>
      <c r="V2" s="7"/>
      <c r="W2" s="92" t="s">
        <v>15</v>
      </c>
      <c r="X2" s="2"/>
    </row>
    <row r="3" spans="1:24" x14ac:dyDescent="0.2">
      <c r="A3" s="68" t="s">
        <v>46</v>
      </c>
      <c r="B3" s="68"/>
      <c r="C3" s="69"/>
      <c r="D3" s="70"/>
      <c r="E3" s="71"/>
      <c r="F3" s="71"/>
      <c r="G3" s="71"/>
      <c r="H3" s="10"/>
      <c r="I3" s="72"/>
      <c r="J3" s="72"/>
      <c r="K3" s="72"/>
      <c r="L3" s="17"/>
      <c r="M3" s="73">
        <f>M5+M8+M11+M17+M23</f>
        <v>5531638.9000000004</v>
      </c>
      <c r="N3" s="73">
        <f>N5+N8+N11+N17+N23</f>
        <v>5953012</v>
      </c>
      <c r="O3" s="73">
        <f>O5+O8+O11+O17+O23</f>
        <v>7135714.4000000004</v>
      </c>
      <c r="P3" s="17"/>
      <c r="Q3" s="73">
        <f>Q5+Q8+Q11+Q17+Q23</f>
        <v>6105277.8599999994</v>
      </c>
      <c r="R3" s="73">
        <f>R5+R8+R11+R17+R23</f>
        <v>320815.09999999998</v>
      </c>
      <c r="S3" s="73">
        <f>S5+S8+S11+S17+S23</f>
        <v>13263.04338245</v>
      </c>
      <c r="T3" s="123"/>
      <c r="U3" s="73">
        <f>U5+U8+U11+U17+U23</f>
        <v>17.245797024217243</v>
      </c>
      <c r="V3" s="123"/>
      <c r="W3" s="74"/>
      <c r="X3" s="9"/>
    </row>
    <row r="4" spans="1:24" x14ac:dyDescent="0.2">
      <c r="A4" s="22"/>
      <c r="B4" s="22"/>
      <c r="C4" s="61"/>
      <c r="D4" s="18"/>
      <c r="E4" s="19"/>
      <c r="F4" s="19"/>
      <c r="G4" s="19"/>
      <c r="H4" s="10"/>
      <c r="I4" s="12"/>
      <c r="J4" s="12"/>
      <c r="K4" s="12"/>
      <c r="L4" s="12"/>
      <c r="M4" s="13"/>
      <c r="N4" s="13"/>
      <c r="O4" s="13"/>
      <c r="P4" s="12"/>
      <c r="Q4" s="13"/>
      <c r="R4" s="13"/>
      <c r="S4" s="14"/>
      <c r="T4" s="14"/>
      <c r="U4" s="20"/>
      <c r="V4" s="14"/>
      <c r="W4" s="27"/>
      <c r="X4" s="9"/>
    </row>
    <row r="5" spans="1:24" x14ac:dyDescent="0.2">
      <c r="A5" s="26" t="s">
        <v>40</v>
      </c>
      <c r="B5" s="26"/>
      <c r="C5" s="62"/>
      <c r="D5" s="75"/>
      <c r="E5" s="76"/>
      <c r="F5" s="77"/>
      <c r="G5" s="77"/>
      <c r="H5" s="10"/>
      <c r="I5" s="78"/>
      <c r="J5" s="79"/>
      <c r="K5" s="78"/>
      <c r="L5" s="32"/>
      <c r="M5" s="80">
        <f>SUM(M6:M6)</f>
        <v>19000</v>
      </c>
      <c r="N5" s="80">
        <f>SUM(N6:N6)</f>
        <v>20000</v>
      </c>
      <c r="O5" s="80">
        <f>SUM(O6:O6)</f>
        <v>23000</v>
      </c>
      <c r="P5" s="32"/>
      <c r="Q5" s="80">
        <f>SUM(Q6:Q6)</f>
        <v>20400</v>
      </c>
      <c r="R5" s="80">
        <f>SUM(R6:R6)</f>
        <v>800</v>
      </c>
      <c r="S5" s="80">
        <f>SUM(S6:S6)</f>
        <v>0.64</v>
      </c>
      <c r="T5" s="34"/>
      <c r="U5" s="81">
        <f>SUM(U6:U6)</f>
        <v>8.3218532709497799E-4</v>
      </c>
      <c r="V5" s="14"/>
      <c r="W5" s="82"/>
      <c r="X5" s="9"/>
    </row>
    <row r="6" spans="1:24" x14ac:dyDescent="0.2">
      <c r="A6" s="51"/>
      <c r="B6" s="21" t="s">
        <v>44</v>
      </c>
      <c r="C6" s="64" t="s">
        <v>28</v>
      </c>
      <c r="D6" s="59">
        <v>40</v>
      </c>
      <c r="E6" s="41" t="s">
        <v>13</v>
      </c>
      <c r="F6" s="25">
        <v>0.05</v>
      </c>
      <c r="G6" s="25">
        <v>0.15</v>
      </c>
      <c r="H6" s="10"/>
      <c r="I6" s="42">
        <f t="shared" ref="I6" si="0">SUM(J6)-(J6*F6)</f>
        <v>475</v>
      </c>
      <c r="J6" s="43">
        <v>500</v>
      </c>
      <c r="K6" s="44">
        <f t="shared" ref="K6" si="1">SUM(J6)+(J6*G6)</f>
        <v>575</v>
      </c>
      <c r="L6" s="32"/>
      <c r="M6" s="36">
        <f>$D6*I6</f>
        <v>19000</v>
      </c>
      <c r="N6" s="36">
        <f>$D6*J6</f>
        <v>20000</v>
      </c>
      <c r="O6" s="36">
        <f>$D6*K6</f>
        <v>23000</v>
      </c>
      <c r="P6" s="32"/>
      <c r="Q6" s="36">
        <f t="shared" ref="Q6" si="2">(M6+3*N6+O6)/5</f>
        <v>20400</v>
      </c>
      <c r="R6" s="36">
        <f t="shared" ref="R6" si="3">(O6-M6)/5</f>
        <v>800</v>
      </c>
      <c r="S6" s="34">
        <f t="shared" ref="S6" si="4">R6^2/1000000</f>
        <v>0.64</v>
      </c>
      <c r="T6" s="34"/>
      <c r="U6" s="29">
        <f>100*S6/$S$93</f>
        <v>8.3218532709497799E-4</v>
      </c>
      <c r="V6" s="14"/>
      <c r="W6" s="29" t="s">
        <v>47</v>
      </c>
      <c r="X6" s="9"/>
    </row>
    <row r="7" spans="1:24" x14ac:dyDescent="0.2">
      <c r="A7" s="51"/>
      <c r="B7" s="21"/>
      <c r="C7" s="65"/>
      <c r="D7" s="58"/>
      <c r="E7" s="35"/>
      <c r="F7" s="45"/>
      <c r="G7" s="45"/>
      <c r="H7" s="10"/>
      <c r="I7" s="32"/>
      <c r="J7" s="32"/>
      <c r="K7" s="32"/>
      <c r="L7" s="32"/>
      <c r="M7" s="36"/>
      <c r="N7" s="36"/>
      <c r="O7" s="36"/>
      <c r="P7" s="32"/>
      <c r="Q7" s="36"/>
      <c r="R7" s="36"/>
      <c r="S7" s="34"/>
      <c r="T7" s="34"/>
      <c r="U7" s="29"/>
      <c r="V7" s="14"/>
      <c r="W7" s="27"/>
      <c r="X7" s="9"/>
    </row>
    <row r="8" spans="1:24" x14ac:dyDescent="0.2">
      <c r="A8" s="23" t="s">
        <v>41</v>
      </c>
      <c r="B8" s="23"/>
      <c r="C8" s="63"/>
      <c r="D8" s="57"/>
      <c r="E8" s="37"/>
      <c r="F8" s="38"/>
      <c r="G8" s="38"/>
      <c r="H8" s="10"/>
      <c r="I8" s="39"/>
      <c r="J8" s="40"/>
      <c r="K8" s="39"/>
      <c r="L8" s="32"/>
      <c r="M8" s="33">
        <f>SUM(M9:M9)</f>
        <v>43700</v>
      </c>
      <c r="N8" s="33">
        <f>SUM(N9:N9)</f>
        <v>46000</v>
      </c>
      <c r="O8" s="33">
        <f>SUM(O9:O9)</f>
        <v>48300</v>
      </c>
      <c r="P8" s="32"/>
      <c r="Q8" s="33">
        <f>SUM(Q9:Q9)</f>
        <v>46000</v>
      </c>
      <c r="R8" s="33">
        <f>SUM(R9:R9)</f>
        <v>920</v>
      </c>
      <c r="S8" s="33">
        <f>SUM(S9:S9)</f>
        <v>0.84640000000000004</v>
      </c>
      <c r="T8" s="34"/>
      <c r="U8" s="28">
        <f>SUM(U9:U9)</f>
        <v>1.1005650950831085E-3</v>
      </c>
      <c r="V8" s="14"/>
      <c r="W8" s="55"/>
      <c r="X8" s="9"/>
    </row>
    <row r="9" spans="1:24" x14ac:dyDescent="0.2">
      <c r="A9" s="51"/>
      <c r="B9" s="21" t="s">
        <v>45</v>
      </c>
      <c r="C9" s="64" t="s">
        <v>28</v>
      </c>
      <c r="D9" s="59">
        <f>SUM(D6)</f>
        <v>40</v>
      </c>
      <c r="E9" s="41" t="s">
        <v>13</v>
      </c>
      <c r="F9" s="25">
        <v>0.05</v>
      </c>
      <c r="G9" s="25">
        <v>0.05</v>
      </c>
      <c r="H9" s="10"/>
      <c r="I9" s="42">
        <f t="shared" ref="I9" si="5">SUM(J9)-(J9*F9)</f>
        <v>1092.5</v>
      </c>
      <c r="J9" s="43">
        <v>1150</v>
      </c>
      <c r="K9" s="44">
        <f t="shared" ref="K9" si="6">SUM(J9)+(J9*G9)</f>
        <v>1207.5</v>
      </c>
      <c r="L9" s="32"/>
      <c r="M9" s="36">
        <f>$D9*I9</f>
        <v>43700</v>
      </c>
      <c r="N9" s="36">
        <f>$D9*J9</f>
        <v>46000</v>
      </c>
      <c r="O9" s="36">
        <f>$D9*K9</f>
        <v>48300</v>
      </c>
      <c r="P9" s="32"/>
      <c r="Q9" s="36">
        <f t="shared" ref="Q9" si="7">(M9+3*N9+O9)/5</f>
        <v>46000</v>
      </c>
      <c r="R9" s="36">
        <f t="shared" ref="R9" si="8">(O9-M9)/5</f>
        <v>920</v>
      </c>
      <c r="S9" s="34">
        <f t="shared" ref="S9" si="9">R9^2/1000000</f>
        <v>0.84640000000000004</v>
      </c>
      <c r="T9" s="34"/>
      <c r="U9" s="29">
        <f>100*S9/$S$93</f>
        <v>1.1005650950831085E-3</v>
      </c>
      <c r="V9" s="14"/>
      <c r="W9" s="29" t="s">
        <v>47</v>
      </c>
      <c r="X9" s="9"/>
    </row>
    <row r="10" spans="1:24" x14ac:dyDescent="0.2">
      <c r="A10" s="22"/>
      <c r="B10" s="22"/>
      <c r="C10" s="61"/>
      <c r="D10" s="58"/>
      <c r="E10" s="35"/>
      <c r="F10" s="35"/>
      <c r="G10" s="35"/>
      <c r="H10" s="10"/>
      <c r="I10" s="32"/>
      <c r="J10" s="32"/>
      <c r="K10" s="32"/>
      <c r="L10" s="32"/>
      <c r="M10" s="36"/>
      <c r="N10" s="36"/>
      <c r="O10" s="36"/>
      <c r="P10" s="32"/>
      <c r="Q10" s="36"/>
      <c r="R10" s="36"/>
      <c r="S10" s="34"/>
      <c r="T10" s="34"/>
      <c r="U10" s="27"/>
      <c r="V10" s="14"/>
      <c r="W10" s="27"/>
      <c r="X10" s="9"/>
    </row>
    <row r="11" spans="1:24" x14ac:dyDescent="0.2">
      <c r="A11" s="94" t="s">
        <v>90</v>
      </c>
      <c r="B11" s="94"/>
      <c r="C11" s="95"/>
      <c r="D11" s="96"/>
      <c r="E11" s="97"/>
      <c r="F11" s="98"/>
      <c r="G11" s="98"/>
      <c r="H11" s="10"/>
      <c r="I11" s="109"/>
      <c r="J11" s="110"/>
      <c r="K11" s="111"/>
      <c r="L11" s="32"/>
      <c r="M11" s="111">
        <f>SUM(M12:M15)</f>
        <v>176996.40000000002</v>
      </c>
      <c r="N11" s="111">
        <f>SUM(N12:N15)</f>
        <v>186312</v>
      </c>
      <c r="O11" s="111">
        <f>SUM(O12:O15)</f>
        <v>223574.39999999999</v>
      </c>
      <c r="P11" s="32"/>
      <c r="Q11" s="111">
        <f>SUM(Q12:Q15)</f>
        <v>191901.36</v>
      </c>
      <c r="R11" s="111">
        <f>SUM(R12:R15)</f>
        <v>9315.6</v>
      </c>
      <c r="S11" s="111">
        <f>SUM(S12:S15)</f>
        <v>25.374297200000001</v>
      </c>
      <c r="T11" s="34"/>
      <c r="U11" s="112">
        <f>SUM(U12:U15)</f>
        <v>3.2993934086229984E-2</v>
      </c>
      <c r="V11" s="14"/>
      <c r="W11" s="113"/>
      <c r="X11" s="9"/>
    </row>
    <row r="12" spans="1:24" s="9" customFormat="1" x14ac:dyDescent="0.2">
      <c r="A12" s="51"/>
      <c r="B12" s="93" t="s">
        <v>58</v>
      </c>
      <c r="C12" s="64" t="s">
        <v>28</v>
      </c>
      <c r="D12" s="59">
        <f>SUM(129-21)</f>
        <v>108</v>
      </c>
      <c r="E12" s="41" t="s">
        <v>13</v>
      </c>
      <c r="F12" s="25">
        <v>0.05</v>
      </c>
      <c r="G12" s="25">
        <v>0.2</v>
      </c>
      <c r="H12" s="10"/>
      <c r="I12" s="42">
        <f t="shared" ref="I12" si="10">SUM(J12)-(J12*F12)</f>
        <v>266</v>
      </c>
      <c r="J12" s="43">
        <v>280</v>
      </c>
      <c r="K12" s="44">
        <f t="shared" ref="K12" si="11">SUM(J12)+(J12*G12)</f>
        <v>336</v>
      </c>
      <c r="L12" s="32"/>
      <c r="M12" s="36">
        <f t="shared" ref="M12:O15" si="12">$D12*I12</f>
        <v>28728</v>
      </c>
      <c r="N12" s="36">
        <f t="shared" si="12"/>
        <v>30240</v>
      </c>
      <c r="O12" s="36">
        <f t="shared" si="12"/>
        <v>36288</v>
      </c>
      <c r="P12" s="32"/>
      <c r="Q12" s="36">
        <f t="shared" ref="Q12" si="13">(M12+3*N12+O12)/5</f>
        <v>31147.200000000001</v>
      </c>
      <c r="R12" s="36">
        <f t="shared" ref="R12" si="14">(O12-M12)/5</f>
        <v>1512</v>
      </c>
      <c r="S12" s="34">
        <f t="shared" ref="S12" si="15">R12^2/1000000</f>
        <v>2.2861440000000002</v>
      </c>
      <c r="T12" s="34"/>
      <c r="U12" s="29">
        <f>100*S12/$S$93</f>
        <v>2.9726492069159709E-3</v>
      </c>
      <c r="V12" s="14"/>
      <c r="W12" s="125" t="s">
        <v>84</v>
      </c>
    </row>
    <row r="13" spans="1:24" s="9" customFormat="1" x14ac:dyDescent="0.2">
      <c r="A13" s="51"/>
      <c r="B13" s="93" t="s">
        <v>59</v>
      </c>
      <c r="C13" s="64" t="s">
        <v>28</v>
      </c>
      <c r="D13" s="59">
        <f>SUM(369-115.5)</f>
        <v>253.5</v>
      </c>
      <c r="E13" s="41" t="s">
        <v>13</v>
      </c>
      <c r="F13" s="25">
        <v>0.05</v>
      </c>
      <c r="G13" s="25">
        <v>0.2</v>
      </c>
      <c r="H13" s="10"/>
      <c r="I13" s="42">
        <f t="shared" ref="I13" si="16">SUM(J13)-(J13*F13)</f>
        <v>266</v>
      </c>
      <c r="J13" s="43">
        <v>280</v>
      </c>
      <c r="K13" s="44">
        <f t="shared" ref="K13" si="17">SUM(J13)+(J13*G13)</f>
        <v>336</v>
      </c>
      <c r="L13" s="32"/>
      <c r="M13" s="36">
        <f t="shared" si="12"/>
        <v>67431</v>
      </c>
      <c r="N13" s="36">
        <f t="shared" si="12"/>
        <v>70980</v>
      </c>
      <c r="O13" s="36">
        <f t="shared" si="12"/>
        <v>85176</v>
      </c>
      <c r="P13" s="32"/>
      <c r="Q13" s="36">
        <f t="shared" ref="Q13" si="18">(M13+3*N13+O13)/5</f>
        <v>73109.399999999994</v>
      </c>
      <c r="R13" s="36">
        <f t="shared" ref="R13" si="19">(O13-M13)/5</f>
        <v>3549</v>
      </c>
      <c r="S13" s="34">
        <f t="shared" ref="S13" si="20">R13^2/1000000</f>
        <v>12.595401000000001</v>
      </c>
      <c r="T13" s="34"/>
      <c r="U13" s="29">
        <f>100*S13/$S$93</f>
        <v>1.6377668595433461E-2</v>
      </c>
      <c r="V13" s="14"/>
      <c r="W13" s="126"/>
    </row>
    <row r="14" spans="1:24" s="9" customFormat="1" x14ac:dyDescent="0.2">
      <c r="A14" s="51"/>
      <c r="B14" s="93" t="s">
        <v>60</v>
      </c>
      <c r="C14" s="64" t="s">
        <v>28</v>
      </c>
      <c r="D14" s="59">
        <f>SUM(292.5-201.2)</f>
        <v>91.300000000000011</v>
      </c>
      <c r="E14" s="41" t="s">
        <v>13</v>
      </c>
      <c r="F14" s="25">
        <v>0.05</v>
      </c>
      <c r="G14" s="25">
        <v>0.2</v>
      </c>
      <c r="H14" s="10"/>
      <c r="I14" s="42">
        <f t="shared" ref="I14" si="21">SUM(J14)-(J14*F14)</f>
        <v>266</v>
      </c>
      <c r="J14" s="43">
        <v>280</v>
      </c>
      <c r="K14" s="44">
        <f t="shared" ref="K14" si="22">SUM(J14)+(J14*G14)</f>
        <v>336</v>
      </c>
      <c r="L14" s="32"/>
      <c r="M14" s="36">
        <f t="shared" si="12"/>
        <v>24285.800000000003</v>
      </c>
      <c r="N14" s="36">
        <f t="shared" si="12"/>
        <v>25564.000000000004</v>
      </c>
      <c r="O14" s="36">
        <f t="shared" si="12"/>
        <v>30676.800000000003</v>
      </c>
      <c r="P14" s="32"/>
      <c r="Q14" s="36">
        <f t="shared" ref="Q14" si="23">(M14+3*N14+O14)/5</f>
        <v>26330.920000000006</v>
      </c>
      <c r="R14" s="36">
        <f t="shared" ref="R14" si="24">(O14-M14)/5</f>
        <v>1278.2</v>
      </c>
      <c r="S14" s="34">
        <f t="shared" ref="S14" si="25">R14^2/1000000</f>
        <v>1.6337952400000002</v>
      </c>
      <c r="T14" s="34"/>
      <c r="U14" s="29">
        <f>100*S14/$S$93</f>
        <v>2.1244069159462786E-3</v>
      </c>
      <c r="V14" s="14"/>
      <c r="W14" s="126"/>
    </row>
    <row r="15" spans="1:24" s="9" customFormat="1" x14ac:dyDescent="0.2">
      <c r="A15" s="51"/>
      <c r="B15" s="93" t="s">
        <v>61</v>
      </c>
      <c r="C15" s="64" t="s">
        <v>28</v>
      </c>
      <c r="D15" s="59">
        <f>SUM(500-287.4)</f>
        <v>212.60000000000002</v>
      </c>
      <c r="E15" s="41" t="s">
        <v>13</v>
      </c>
      <c r="F15" s="25">
        <v>0.05</v>
      </c>
      <c r="G15" s="25">
        <v>0.2</v>
      </c>
      <c r="H15" s="10"/>
      <c r="I15" s="42">
        <f t="shared" ref="I15" si="26">SUM(J15)-(J15*F15)</f>
        <v>266</v>
      </c>
      <c r="J15" s="43">
        <v>280</v>
      </c>
      <c r="K15" s="44">
        <f t="shared" ref="K15" si="27">SUM(J15)+(J15*G15)</f>
        <v>336</v>
      </c>
      <c r="L15" s="32"/>
      <c r="M15" s="36">
        <f t="shared" si="12"/>
        <v>56551.600000000006</v>
      </c>
      <c r="N15" s="36">
        <f t="shared" si="12"/>
        <v>59528.000000000007</v>
      </c>
      <c r="O15" s="36">
        <f t="shared" si="12"/>
        <v>71433.600000000006</v>
      </c>
      <c r="P15" s="32"/>
      <c r="Q15" s="36">
        <f t="shared" ref="Q15" si="28">(M15+3*N15+O15)/5</f>
        <v>61313.840000000011</v>
      </c>
      <c r="R15" s="36">
        <f t="shared" ref="R15" si="29">(O15-M15)/5</f>
        <v>2976.4</v>
      </c>
      <c r="S15" s="34">
        <f t="shared" ref="S15" si="30">R15^2/1000000</f>
        <v>8.8589569600000004</v>
      </c>
      <c r="T15" s="34"/>
      <c r="U15" s="29">
        <f>100*S15/$S$93</f>
        <v>1.1519209367934269E-2</v>
      </c>
      <c r="V15" s="14"/>
      <c r="W15" s="126"/>
    </row>
    <row r="16" spans="1:24" x14ac:dyDescent="0.2">
      <c r="A16" s="51"/>
      <c r="B16" s="21"/>
      <c r="C16" s="65"/>
      <c r="D16" s="60"/>
      <c r="E16" s="52"/>
      <c r="F16" s="53"/>
      <c r="G16" s="53"/>
      <c r="H16" s="10"/>
      <c r="I16" s="32"/>
      <c r="J16" s="50"/>
      <c r="K16" s="32"/>
      <c r="L16" s="32"/>
      <c r="M16" s="36"/>
      <c r="N16" s="36"/>
      <c r="O16" s="36"/>
      <c r="P16" s="32"/>
      <c r="Q16" s="36"/>
      <c r="R16" s="36"/>
      <c r="S16" s="34"/>
      <c r="T16" s="34"/>
      <c r="U16" s="29"/>
      <c r="V16" s="14"/>
      <c r="W16" s="126"/>
      <c r="X16" s="9"/>
    </row>
    <row r="17" spans="1:24" x14ac:dyDescent="0.2">
      <c r="A17" s="94" t="s">
        <v>91</v>
      </c>
      <c r="B17" s="94"/>
      <c r="C17" s="95"/>
      <c r="D17" s="96"/>
      <c r="E17" s="97"/>
      <c r="F17" s="98"/>
      <c r="G17" s="98"/>
      <c r="H17" s="10"/>
      <c r="I17" s="109"/>
      <c r="J17" s="110"/>
      <c r="K17" s="111"/>
      <c r="L17" s="32"/>
      <c r="M17" s="111">
        <f>SUM(M18:M21)</f>
        <v>3064937.5</v>
      </c>
      <c r="N17" s="111">
        <f>SUM(N18:N21)</f>
        <v>3226250</v>
      </c>
      <c r="O17" s="111">
        <f>SUM(O18:O21)</f>
        <v>3871500</v>
      </c>
      <c r="P17" s="32"/>
      <c r="Q17" s="111">
        <f>SUM(Q18:Q21)</f>
        <v>3323037.5</v>
      </c>
      <c r="R17" s="111">
        <f>SUM(R18:R21)</f>
        <v>161312.5</v>
      </c>
      <c r="S17" s="111">
        <f>SUM(S18:S21)</f>
        <v>7630.59765625</v>
      </c>
      <c r="T17" s="34"/>
      <c r="U17" s="112">
        <f>SUM(U18:U21)</f>
        <v>9.9219865726509049</v>
      </c>
      <c r="V17" s="14"/>
      <c r="W17" s="113"/>
      <c r="X17" s="9"/>
    </row>
    <row r="18" spans="1:24" x14ac:dyDescent="0.2">
      <c r="A18" s="51"/>
      <c r="B18" s="93" t="s">
        <v>53</v>
      </c>
      <c r="C18" s="64" t="s">
        <v>28</v>
      </c>
      <c r="D18" s="59">
        <v>129</v>
      </c>
      <c r="E18" s="116" t="s">
        <v>13</v>
      </c>
      <c r="F18" s="25">
        <v>0.05</v>
      </c>
      <c r="G18" s="25">
        <v>0.2</v>
      </c>
      <c r="H18" s="10"/>
      <c r="I18" s="42">
        <f>SUM(J18)-(J18*F18)</f>
        <v>2375</v>
      </c>
      <c r="J18" s="50">
        <v>2500</v>
      </c>
      <c r="K18" s="44">
        <f>SUM(J18)+(J18*G18)</f>
        <v>3000</v>
      </c>
      <c r="L18" s="32"/>
      <c r="M18" s="36">
        <f t="shared" ref="M18:O21" si="31">$D18*I18</f>
        <v>306375</v>
      </c>
      <c r="N18" s="36">
        <f t="shared" si="31"/>
        <v>322500</v>
      </c>
      <c r="O18" s="36">
        <f t="shared" si="31"/>
        <v>387000</v>
      </c>
      <c r="P18" s="32"/>
      <c r="Q18" s="36">
        <f>(M18+3*N18+O18)/5</f>
        <v>332175</v>
      </c>
      <c r="R18" s="36">
        <f>(O18-M18)/5</f>
        <v>16125</v>
      </c>
      <c r="S18" s="34">
        <f>R18^2/1000000</f>
        <v>260.015625</v>
      </c>
      <c r="T18" s="34"/>
      <c r="U18" s="29">
        <f>100*S18/$S$93</f>
        <v>0.33809560615692208</v>
      </c>
      <c r="V18" s="14"/>
      <c r="W18" s="125" t="s">
        <v>82</v>
      </c>
      <c r="X18" s="9"/>
    </row>
    <row r="19" spans="1:24" x14ac:dyDescent="0.2">
      <c r="A19" s="51"/>
      <c r="B19" s="93" t="s">
        <v>54</v>
      </c>
      <c r="C19" s="64" t="s">
        <v>28</v>
      </c>
      <c r="D19" s="59">
        <v>369</v>
      </c>
      <c r="E19" s="116" t="s">
        <v>13</v>
      </c>
      <c r="F19" s="25">
        <v>0.05</v>
      </c>
      <c r="G19" s="25">
        <v>0.2</v>
      </c>
      <c r="H19" s="10"/>
      <c r="I19" s="42">
        <f>SUM(J19)-(J19*F19)</f>
        <v>2375</v>
      </c>
      <c r="J19" s="50">
        <v>2500</v>
      </c>
      <c r="K19" s="44">
        <f>SUM(J19)+(J19*G19)</f>
        <v>3000</v>
      </c>
      <c r="L19" s="32"/>
      <c r="M19" s="36">
        <f t="shared" si="31"/>
        <v>876375</v>
      </c>
      <c r="N19" s="36">
        <f t="shared" si="31"/>
        <v>922500</v>
      </c>
      <c r="O19" s="36">
        <f t="shared" si="31"/>
        <v>1107000</v>
      </c>
      <c r="P19" s="32"/>
      <c r="Q19" s="36">
        <f>(M19+3*N19+O19)/5</f>
        <v>950175</v>
      </c>
      <c r="R19" s="36">
        <f>(O19-M19)/5</f>
        <v>46125</v>
      </c>
      <c r="S19" s="34">
        <f>R19^2/1000000</f>
        <v>2127.515625</v>
      </c>
      <c r="T19" s="34"/>
      <c r="U19" s="29">
        <f>100*S19/$S$93</f>
        <v>2.7663863848285959</v>
      </c>
      <c r="V19" s="14"/>
      <c r="W19" s="126"/>
      <c r="X19" s="9"/>
    </row>
    <row r="20" spans="1:24" x14ac:dyDescent="0.2">
      <c r="A20" s="51"/>
      <c r="B20" s="93" t="s">
        <v>55</v>
      </c>
      <c r="C20" s="64" t="s">
        <v>28</v>
      </c>
      <c r="D20" s="59">
        <v>292.5</v>
      </c>
      <c r="E20" s="116" t="s">
        <v>13</v>
      </c>
      <c r="F20" s="25">
        <v>0.05</v>
      </c>
      <c r="G20" s="25">
        <v>0.2</v>
      </c>
      <c r="H20" s="10"/>
      <c r="I20" s="42">
        <f>SUM(J20)-(J20*F20)</f>
        <v>2375</v>
      </c>
      <c r="J20" s="50">
        <v>2500</v>
      </c>
      <c r="K20" s="44">
        <f>SUM(J20)+(J20*G20)</f>
        <v>3000</v>
      </c>
      <c r="L20" s="32"/>
      <c r="M20" s="36">
        <f t="shared" si="31"/>
        <v>694687.5</v>
      </c>
      <c r="N20" s="36">
        <f t="shared" si="31"/>
        <v>731250</v>
      </c>
      <c r="O20" s="36">
        <f t="shared" si="31"/>
        <v>877500</v>
      </c>
      <c r="P20" s="32"/>
      <c r="Q20" s="36">
        <f>(M20+3*N20+O20)/5</f>
        <v>753187.5</v>
      </c>
      <c r="R20" s="36">
        <f>(O20-M20)/5</f>
        <v>36562.5</v>
      </c>
      <c r="S20" s="34">
        <f>R20^2/1000000</f>
        <v>1336.81640625</v>
      </c>
      <c r="T20" s="34"/>
      <c r="U20" s="29">
        <f>100*S20/$S$93</f>
        <v>1.7382484348454519</v>
      </c>
      <c r="V20" s="14"/>
      <c r="W20" s="126"/>
      <c r="X20" s="9"/>
    </row>
    <row r="21" spans="1:24" x14ac:dyDescent="0.2">
      <c r="A21" s="51"/>
      <c r="B21" s="93" t="s">
        <v>56</v>
      </c>
      <c r="C21" s="64" t="s">
        <v>28</v>
      </c>
      <c r="D21" s="59">
        <v>500</v>
      </c>
      <c r="E21" s="116" t="s">
        <v>13</v>
      </c>
      <c r="F21" s="25">
        <v>0.05</v>
      </c>
      <c r="G21" s="25">
        <v>0.2</v>
      </c>
      <c r="H21" s="10"/>
      <c r="I21" s="42">
        <f>SUM(J21)-(J21*F21)</f>
        <v>2375</v>
      </c>
      <c r="J21" s="50">
        <v>2500</v>
      </c>
      <c r="K21" s="44">
        <f>SUM(J21)+(J21*G21)</f>
        <v>3000</v>
      </c>
      <c r="L21" s="32"/>
      <c r="M21" s="36">
        <f t="shared" si="31"/>
        <v>1187500</v>
      </c>
      <c r="N21" s="36">
        <f t="shared" si="31"/>
        <v>1250000</v>
      </c>
      <c r="O21" s="36">
        <f t="shared" si="31"/>
        <v>1500000</v>
      </c>
      <c r="P21" s="32"/>
      <c r="Q21" s="36">
        <f>(M21+3*N21+O21)/5</f>
        <v>1287500</v>
      </c>
      <c r="R21" s="36">
        <f>(O21-M21)/5</f>
        <v>62500</v>
      </c>
      <c r="S21" s="34">
        <f>R21^2/1000000</f>
        <v>3906.25</v>
      </c>
      <c r="T21" s="34"/>
      <c r="U21" s="29">
        <f>100*S21/$S$93</f>
        <v>5.079256146819934</v>
      </c>
      <c r="V21" s="14"/>
      <c r="W21" s="126"/>
      <c r="X21" s="9"/>
    </row>
    <row r="22" spans="1:24" x14ac:dyDescent="0.2">
      <c r="A22" s="51"/>
      <c r="B22" s="21"/>
      <c r="C22" s="65"/>
      <c r="D22" s="58"/>
      <c r="E22" s="35"/>
      <c r="F22" s="45"/>
      <c r="G22" s="45"/>
      <c r="H22" s="10"/>
      <c r="I22" s="32"/>
      <c r="J22" s="32"/>
      <c r="K22" s="32"/>
      <c r="L22" s="32"/>
      <c r="M22" s="36"/>
      <c r="N22" s="36"/>
      <c r="O22" s="36"/>
      <c r="P22" s="32"/>
      <c r="Q22" s="36"/>
      <c r="R22" s="36"/>
      <c r="S22" s="34"/>
      <c r="T22" s="34"/>
      <c r="U22" s="29"/>
      <c r="V22" s="14"/>
      <c r="W22" s="114"/>
      <c r="X22" s="9"/>
    </row>
    <row r="23" spans="1:24" x14ac:dyDescent="0.2">
      <c r="A23" s="99" t="s">
        <v>92</v>
      </c>
      <c r="B23" s="99"/>
      <c r="C23" s="100"/>
      <c r="D23" s="101"/>
      <c r="E23" s="102"/>
      <c r="F23" s="103"/>
      <c r="G23" s="103"/>
      <c r="H23" s="10"/>
      <c r="I23" s="104"/>
      <c r="J23" s="105"/>
      <c r="K23" s="106"/>
      <c r="L23" s="32"/>
      <c r="M23" s="106">
        <f>SUM(M24:M27)</f>
        <v>2227005</v>
      </c>
      <c r="N23" s="106">
        <f>SUM(N24:N27)</f>
        <v>2474450</v>
      </c>
      <c r="O23" s="106">
        <f>SUM(O24:O27)</f>
        <v>2969340</v>
      </c>
      <c r="P23" s="32"/>
      <c r="Q23" s="106">
        <f>SUM(Q24:Q27)</f>
        <v>2523939</v>
      </c>
      <c r="R23" s="106">
        <f>SUM(R24:R27)</f>
        <v>148467</v>
      </c>
      <c r="S23" s="106">
        <f>SUM(S24:S27)</f>
        <v>5605.5850289999998</v>
      </c>
      <c r="T23" s="34"/>
      <c r="U23" s="107">
        <f>SUM(U24:U27)</f>
        <v>7.2888837670579312</v>
      </c>
      <c r="V23" s="14"/>
      <c r="W23" s="108"/>
      <c r="X23" s="9"/>
    </row>
    <row r="24" spans="1:24" x14ac:dyDescent="0.2">
      <c r="A24" s="51"/>
      <c r="B24" s="93" t="s">
        <v>68</v>
      </c>
      <c r="C24" s="64" t="s">
        <v>28</v>
      </c>
      <c r="D24" s="59">
        <v>869</v>
      </c>
      <c r="E24" s="116" t="s">
        <v>13</v>
      </c>
      <c r="F24" s="25">
        <v>0.1</v>
      </c>
      <c r="G24" s="25">
        <v>0.2</v>
      </c>
      <c r="H24" s="10"/>
      <c r="I24" s="42">
        <f>SUM(J24)-(J24*F24)</f>
        <v>495</v>
      </c>
      <c r="J24" s="50">
        <v>550</v>
      </c>
      <c r="K24" s="44">
        <f>SUM(J24)+(J24*G24)</f>
        <v>660</v>
      </c>
      <c r="L24" s="32"/>
      <c r="M24" s="36">
        <f t="shared" ref="M24:M27" si="32">$D24*I24</f>
        <v>430155</v>
      </c>
      <c r="N24" s="36">
        <f t="shared" ref="N24:N27" si="33">$D24*J24</f>
        <v>477950</v>
      </c>
      <c r="O24" s="36">
        <f t="shared" ref="O24:O27" si="34">$D24*K24</f>
        <v>573540</v>
      </c>
      <c r="P24" s="32"/>
      <c r="Q24" s="36">
        <f>(M24+3*N24+O24)/5</f>
        <v>487509</v>
      </c>
      <c r="R24" s="36">
        <f>(O24-M24)/5</f>
        <v>28677</v>
      </c>
      <c r="S24" s="34">
        <f>R24^2/1000000</f>
        <v>822.37032899999997</v>
      </c>
      <c r="T24" s="34"/>
      <c r="U24" s="29">
        <f>100*S24/$S$93</f>
        <v>1.0693195644251088</v>
      </c>
      <c r="V24" s="14"/>
      <c r="W24" s="125" t="s">
        <v>82</v>
      </c>
      <c r="X24" s="9"/>
    </row>
    <row r="25" spans="1:24" x14ac:dyDescent="0.2">
      <c r="A25" s="51"/>
      <c r="B25" s="93" t="s">
        <v>69</v>
      </c>
      <c r="C25" s="64" t="s">
        <v>28</v>
      </c>
      <c r="D25" s="59">
        <v>1210</v>
      </c>
      <c r="E25" s="116" t="s">
        <v>13</v>
      </c>
      <c r="F25" s="25">
        <v>0.1</v>
      </c>
      <c r="G25" s="25">
        <v>0.2</v>
      </c>
      <c r="H25" s="10"/>
      <c r="I25" s="42">
        <f>SUM(J25)-(J25*F25)</f>
        <v>495</v>
      </c>
      <c r="J25" s="50">
        <v>550</v>
      </c>
      <c r="K25" s="44">
        <f>SUM(J25)+(J25*G25)</f>
        <v>660</v>
      </c>
      <c r="L25" s="32"/>
      <c r="M25" s="36">
        <f t="shared" si="32"/>
        <v>598950</v>
      </c>
      <c r="N25" s="36">
        <f t="shared" si="33"/>
        <v>665500</v>
      </c>
      <c r="O25" s="36">
        <f t="shared" si="34"/>
        <v>798600</v>
      </c>
      <c r="P25" s="32"/>
      <c r="Q25" s="36">
        <f>(M25+3*N25+O25)/5</f>
        <v>678810</v>
      </c>
      <c r="R25" s="36">
        <f>(O25-M25)/5</f>
        <v>39930</v>
      </c>
      <c r="S25" s="34">
        <f>R25^2/1000000</f>
        <v>1594.4049</v>
      </c>
      <c r="T25" s="34"/>
      <c r="U25" s="29">
        <f>100*S25/$S$93</f>
        <v>2.0731880675442742</v>
      </c>
      <c r="V25" s="14"/>
      <c r="W25" s="128"/>
      <c r="X25" s="9"/>
    </row>
    <row r="26" spans="1:24" x14ac:dyDescent="0.2">
      <c r="A26" s="51"/>
      <c r="B26" s="93" t="s">
        <v>70</v>
      </c>
      <c r="C26" s="64" t="s">
        <v>28</v>
      </c>
      <c r="D26" s="59">
        <v>1210</v>
      </c>
      <c r="E26" s="116" t="s">
        <v>13</v>
      </c>
      <c r="F26" s="25">
        <v>0.1</v>
      </c>
      <c r="G26" s="25">
        <v>0.2</v>
      </c>
      <c r="H26" s="10"/>
      <c r="I26" s="42">
        <f>SUM(J26)-(J26*F26)</f>
        <v>495</v>
      </c>
      <c r="J26" s="50">
        <v>550</v>
      </c>
      <c r="K26" s="44">
        <f>SUM(J26)+(J26*G26)</f>
        <v>660</v>
      </c>
      <c r="L26" s="32"/>
      <c r="M26" s="36">
        <f t="shared" si="32"/>
        <v>598950</v>
      </c>
      <c r="N26" s="36">
        <f t="shared" si="33"/>
        <v>665500</v>
      </c>
      <c r="O26" s="36">
        <f t="shared" si="34"/>
        <v>798600</v>
      </c>
      <c r="P26" s="32"/>
      <c r="Q26" s="36">
        <f>(M26+3*N26+O26)/5</f>
        <v>678810</v>
      </c>
      <c r="R26" s="36">
        <f>(O26-M26)/5</f>
        <v>39930</v>
      </c>
      <c r="S26" s="34">
        <f>R26^2/1000000</f>
        <v>1594.4049</v>
      </c>
      <c r="T26" s="34"/>
      <c r="U26" s="29">
        <f>100*S26/$S$93</f>
        <v>2.0731880675442742</v>
      </c>
      <c r="V26" s="14"/>
      <c r="W26" s="128"/>
      <c r="X26" s="9"/>
    </row>
    <row r="27" spans="1:24" x14ac:dyDescent="0.2">
      <c r="A27" s="51"/>
      <c r="B27" s="93" t="s">
        <v>71</v>
      </c>
      <c r="C27" s="64" t="s">
        <v>28</v>
      </c>
      <c r="D27" s="59">
        <v>1210</v>
      </c>
      <c r="E27" s="116" t="s">
        <v>13</v>
      </c>
      <c r="F27" s="25">
        <v>0.1</v>
      </c>
      <c r="G27" s="25">
        <v>0.2</v>
      </c>
      <c r="H27" s="10"/>
      <c r="I27" s="42">
        <f>SUM(J27)-(J27*F27)</f>
        <v>495</v>
      </c>
      <c r="J27" s="50">
        <v>550</v>
      </c>
      <c r="K27" s="44">
        <f>SUM(J27)+(J27*G27)</f>
        <v>660</v>
      </c>
      <c r="L27" s="32"/>
      <c r="M27" s="36">
        <f t="shared" si="32"/>
        <v>598950</v>
      </c>
      <c r="N27" s="36">
        <f t="shared" si="33"/>
        <v>665500</v>
      </c>
      <c r="O27" s="36">
        <f t="shared" si="34"/>
        <v>798600</v>
      </c>
      <c r="P27" s="32"/>
      <c r="Q27" s="36">
        <f>(M27+3*N27+O27)/5</f>
        <v>678810</v>
      </c>
      <c r="R27" s="36">
        <f>(O27-M27)/5</f>
        <v>39930</v>
      </c>
      <c r="S27" s="34">
        <f>R27^2/1000000</f>
        <v>1594.4049</v>
      </c>
      <c r="T27" s="34"/>
      <c r="U27" s="29">
        <f>100*S27/$S$93</f>
        <v>2.0731880675442742</v>
      </c>
      <c r="V27" s="14"/>
      <c r="W27" s="128"/>
      <c r="X27" s="9"/>
    </row>
    <row r="28" spans="1:24" x14ac:dyDescent="0.2">
      <c r="A28" s="51"/>
      <c r="B28" s="21"/>
      <c r="C28" s="65"/>
      <c r="D28" s="58"/>
      <c r="E28" s="35"/>
      <c r="F28" s="45"/>
      <c r="G28" s="45"/>
      <c r="H28" s="10"/>
      <c r="I28" s="32"/>
      <c r="J28" s="32"/>
      <c r="K28" s="32"/>
      <c r="L28" s="32"/>
      <c r="M28" s="36"/>
      <c r="N28" s="36"/>
      <c r="O28" s="36"/>
      <c r="P28" s="32"/>
      <c r="Q28" s="36"/>
      <c r="R28" s="36"/>
      <c r="S28" s="34"/>
      <c r="T28" s="34"/>
      <c r="U28" s="29"/>
      <c r="V28" s="14"/>
      <c r="W28" s="115"/>
      <c r="X28" s="9"/>
    </row>
    <row r="29" spans="1:24" x14ac:dyDescent="0.2">
      <c r="A29" s="68" t="s">
        <v>51</v>
      </c>
      <c r="B29" s="68"/>
      <c r="C29" s="69"/>
      <c r="D29" s="70"/>
      <c r="E29" s="71"/>
      <c r="F29" s="71"/>
      <c r="G29" s="71"/>
      <c r="H29" s="10"/>
      <c r="I29" s="72"/>
      <c r="J29" s="72"/>
      <c r="K29" s="72"/>
      <c r="L29" s="17"/>
      <c r="M29" s="73">
        <f>M31+M38+M45+M51+M57+M62+M68+M75</f>
        <v>8975378.5</v>
      </c>
      <c r="N29" s="73">
        <f>N31+N38+N45+N51+N57+N62+N68+N75</f>
        <v>9545030</v>
      </c>
      <c r="O29" s="73">
        <f>O31+O38+O45+O51+O57+O62+O68+O75</f>
        <v>10641558</v>
      </c>
      <c r="P29" s="17"/>
      <c r="Q29" s="73">
        <f>Q31+Q38+Q45+Q51+Q57+Q62+Q68+Q75</f>
        <v>9650405.3000000007</v>
      </c>
      <c r="R29" s="73">
        <f>R31+R38+R45+R51+R57+R62+R68+R75</f>
        <v>333235.90000000002</v>
      </c>
      <c r="S29" s="73">
        <f>S31+S38+S45+S51+S57+S62+S68+S75</f>
        <v>9400.3134927650008</v>
      </c>
      <c r="T29" s="123"/>
      <c r="U29" s="73">
        <f>U31+U38+U45+U51+U57+U62+U68+U75</f>
        <v>12.223129623081215</v>
      </c>
      <c r="V29" s="123"/>
      <c r="W29" s="74"/>
      <c r="X29" s="9"/>
    </row>
    <row r="30" spans="1:24" x14ac:dyDescent="0.2">
      <c r="A30" s="22"/>
      <c r="B30" s="22"/>
      <c r="C30" s="61"/>
      <c r="D30" s="18"/>
      <c r="E30" s="19"/>
      <c r="F30" s="19"/>
      <c r="G30" s="19"/>
      <c r="H30" s="10"/>
      <c r="I30" s="12"/>
      <c r="J30" s="12"/>
      <c r="K30" s="12"/>
      <c r="L30" s="12"/>
      <c r="M30" s="13"/>
      <c r="N30" s="13"/>
      <c r="O30" s="13"/>
      <c r="P30" s="12"/>
      <c r="Q30" s="13"/>
      <c r="R30" s="13"/>
      <c r="S30" s="14"/>
      <c r="T30" s="14"/>
      <c r="U30" s="20"/>
      <c r="V30" s="14"/>
      <c r="W30" s="27"/>
      <c r="X30" s="9"/>
    </row>
    <row r="31" spans="1:24" x14ac:dyDescent="0.2">
      <c r="A31" s="94" t="s">
        <v>95</v>
      </c>
      <c r="B31" s="94"/>
      <c r="C31" s="95"/>
      <c r="D31" s="96"/>
      <c r="E31" s="97"/>
      <c r="F31" s="98"/>
      <c r="G31" s="98"/>
      <c r="H31" s="10"/>
      <c r="I31" s="109"/>
      <c r="J31" s="110"/>
      <c r="K31" s="111"/>
      <c r="L31" s="32"/>
      <c r="M31" s="111">
        <f>SUM(M32:M37)</f>
        <v>1493609</v>
      </c>
      <c r="N31" s="111">
        <f>SUM(N32:N37)</f>
        <v>1572220</v>
      </c>
      <c r="O31" s="111">
        <f>SUM(O32:O37)</f>
        <v>1729442</v>
      </c>
      <c r="P31" s="32"/>
      <c r="Q31" s="111">
        <f>SUM(Q32:Q37)</f>
        <v>1587942.2000000002</v>
      </c>
      <c r="R31" s="111">
        <f>SUM(R32:R37)</f>
        <v>47166.600000000006</v>
      </c>
      <c r="S31" s="111">
        <f>SUM(S32:S37)</f>
        <v>545.63208084000007</v>
      </c>
      <c r="T31" s="34"/>
      <c r="U31" s="112">
        <f>SUM(U32:U37)</f>
        <v>0.70947970573023267</v>
      </c>
      <c r="V31" s="14"/>
      <c r="W31" s="113"/>
      <c r="X31" s="9"/>
    </row>
    <row r="32" spans="1:24" s="9" customFormat="1" x14ac:dyDescent="0.2">
      <c r="A32" s="51"/>
      <c r="B32" s="93" t="s">
        <v>96</v>
      </c>
      <c r="C32" s="64" t="s">
        <v>28</v>
      </c>
      <c r="D32" s="59">
        <f>SUM(D24-21)</f>
        <v>848</v>
      </c>
      <c r="E32" s="41" t="s">
        <v>13</v>
      </c>
      <c r="F32" s="25">
        <v>0.05</v>
      </c>
      <c r="G32" s="25">
        <v>0.1</v>
      </c>
      <c r="H32" s="10"/>
      <c r="I32" s="42">
        <f t="shared" ref="I32" si="35">SUM(J32)-(J32*F32)</f>
        <v>380</v>
      </c>
      <c r="J32" s="43">
        <v>400</v>
      </c>
      <c r="K32" s="44">
        <f t="shared" ref="K32" si="36">SUM(J32)+(J32*G32)</f>
        <v>440</v>
      </c>
      <c r="L32" s="32"/>
      <c r="M32" s="36">
        <f t="shared" ref="M32:M35" si="37">$D32*I32</f>
        <v>322240</v>
      </c>
      <c r="N32" s="36">
        <f t="shared" ref="N32:N35" si="38">$D32*J32</f>
        <v>339200</v>
      </c>
      <c r="O32" s="36">
        <f t="shared" ref="O32:O35" si="39">$D32*K32</f>
        <v>373120</v>
      </c>
      <c r="P32" s="32"/>
      <c r="Q32" s="36">
        <f t="shared" ref="Q32:Q35" si="40">(M32+3*N32+O32)/5</f>
        <v>342592</v>
      </c>
      <c r="R32" s="36">
        <f t="shared" ref="R32:R35" si="41">(O32-M32)/5</f>
        <v>10176</v>
      </c>
      <c r="S32" s="34">
        <f t="shared" ref="S32:S35" si="42">R32^2/1000000</f>
        <v>103.55097600000001</v>
      </c>
      <c r="T32" s="34"/>
      <c r="U32" s="29">
        <f>100*S32/$S$93</f>
        <v>0.1346462544274441</v>
      </c>
      <c r="V32" s="14"/>
      <c r="W32" s="125" t="s">
        <v>83</v>
      </c>
    </row>
    <row r="33" spans="1:24" s="9" customFormat="1" x14ac:dyDescent="0.2">
      <c r="A33" s="51"/>
      <c r="B33" s="93" t="s">
        <v>97</v>
      </c>
      <c r="C33" s="64" t="s">
        <v>28</v>
      </c>
      <c r="D33" s="59">
        <f>SUM(D25-115.5)</f>
        <v>1094.5</v>
      </c>
      <c r="E33" s="41" t="s">
        <v>13</v>
      </c>
      <c r="F33" s="25">
        <v>0.05</v>
      </c>
      <c r="G33" s="25">
        <v>0.1</v>
      </c>
      <c r="H33" s="10"/>
      <c r="I33" s="42">
        <f t="shared" ref="I33" si="43">SUM(J33)-(J33*F33)</f>
        <v>380</v>
      </c>
      <c r="J33" s="43">
        <v>400</v>
      </c>
      <c r="K33" s="44">
        <f t="shared" ref="K33" si="44">SUM(J33)+(J33*G33)</f>
        <v>440</v>
      </c>
      <c r="L33" s="32"/>
      <c r="M33" s="36">
        <f t="shared" si="37"/>
        <v>415910</v>
      </c>
      <c r="N33" s="36">
        <f t="shared" si="38"/>
        <v>437800</v>
      </c>
      <c r="O33" s="36">
        <f t="shared" si="39"/>
        <v>481580</v>
      </c>
      <c r="P33" s="32"/>
      <c r="Q33" s="36">
        <f t="shared" si="40"/>
        <v>442178</v>
      </c>
      <c r="R33" s="36">
        <f t="shared" si="41"/>
        <v>13134</v>
      </c>
      <c r="S33" s="34">
        <f t="shared" si="42"/>
        <v>172.50195600000001</v>
      </c>
      <c r="T33" s="34"/>
      <c r="U33" s="29">
        <f>100*S33/$S$93</f>
        <v>0.22430249480997422</v>
      </c>
      <c r="V33" s="14"/>
      <c r="W33" s="128"/>
    </row>
    <row r="34" spans="1:24" s="9" customFormat="1" x14ac:dyDescent="0.2">
      <c r="A34" s="51"/>
      <c r="B34" s="93" t="s">
        <v>98</v>
      </c>
      <c r="C34" s="64" t="s">
        <v>28</v>
      </c>
      <c r="D34" s="59">
        <f>SUM(D26-201.2)</f>
        <v>1008.8</v>
      </c>
      <c r="E34" s="41" t="s">
        <v>13</v>
      </c>
      <c r="F34" s="25">
        <v>0.05</v>
      </c>
      <c r="G34" s="25">
        <v>0.1</v>
      </c>
      <c r="H34" s="10"/>
      <c r="I34" s="42">
        <f t="shared" ref="I34:I35" si="45">SUM(J34)-(J34*F34)</f>
        <v>380</v>
      </c>
      <c r="J34" s="43">
        <v>400</v>
      </c>
      <c r="K34" s="44">
        <f t="shared" ref="K34:K35" si="46">SUM(J34)+(J34*G34)</f>
        <v>440</v>
      </c>
      <c r="L34" s="32"/>
      <c r="M34" s="36">
        <f t="shared" si="37"/>
        <v>383344</v>
      </c>
      <c r="N34" s="36">
        <f t="shared" si="38"/>
        <v>403520</v>
      </c>
      <c r="O34" s="36">
        <f t="shared" si="39"/>
        <v>443872</v>
      </c>
      <c r="P34" s="32"/>
      <c r="Q34" s="36">
        <f t="shared" si="40"/>
        <v>407555.2</v>
      </c>
      <c r="R34" s="36">
        <f t="shared" si="41"/>
        <v>12105.6</v>
      </c>
      <c r="S34" s="34">
        <f t="shared" si="42"/>
        <v>146.54555136000002</v>
      </c>
      <c r="T34" s="34"/>
      <c r="U34" s="29">
        <f>100*S34/$S$93</f>
        <v>0.19055165248880548</v>
      </c>
      <c r="V34" s="14"/>
      <c r="W34" s="128"/>
    </row>
    <row r="35" spans="1:24" s="9" customFormat="1" x14ac:dyDescent="0.2">
      <c r="A35" s="51"/>
      <c r="B35" s="93" t="s">
        <v>99</v>
      </c>
      <c r="C35" s="64" t="s">
        <v>28</v>
      </c>
      <c r="D35" s="59">
        <f>SUM(D27-287.4)</f>
        <v>922.6</v>
      </c>
      <c r="E35" s="41" t="s">
        <v>13</v>
      </c>
      <c r="F35" s="25">
        <v>0.05</v>
      </c>
      <c r="G35" s="25">
        <v>0.1</v>
      </c>
      <c r="H35" s="10"/>
      <c r="I35" s="42">
        <f t="shared" si="45"/>
        <v>380</v>
      </c>
      <c r="J35" s="43">
        <v>400</v>
      </c>
      <c r="K35" s="44">
        <f t="shared" si="46"/>
        <v>440</v>
      </c>
      <c r="L35" s="32"/>
      <c r="M35" s="36">
        <f t="shared" si="37"/>
        <v>350588</v>
      </c>
      <c r="N35" s="36">
        <f t="shared" si="38"/>
        <v>369040</v>
      </c>
      <c r="O35" s="36">
        <f t="shared" si="39"/>
        <v>405944</v>
      </c>
      <c r="P35" s="32"/>
      <c r="Q35" s="36">
        <f t="shared" si="40"/>
        <v>372730.4</v>
      </c>
      <c r="R35" s="36">
        <f t="shared" si="41"/>
        <v>11071.2</v>
      </c>
      <c r="S35" s="34">
        <f t="shared" si="42"/>
        <v>122.57146944000002</v>
      </c>
      <c r="T35" s="34"/>
      <c r="U35" s="29">
        <f>100*S35/$S$93</f>
        <v>0.15937840373193518</v>
      </c>
      <c r="V35" s="14"/>
      <c r="W35" s="128"/>
    </row>
    <row r="36" spans="1:24" s="9" customFormat="1" x14ac:dyDescent="0.2">
      <c r="A36" s="135"/>
      <c r="B36" s="152" t="s">
        <v>105</v>
      </c>
      <c r="C36" s="136" t="s">
        <v>28</v>
      </c>
      <c r="D36" s="133">
        <f>SUM(72-15.35)</f>
        <v>56.65</v>
      </c>
      <c r="E36" s="137" t="s">
        <v>13</v>
      </c>
      <c r="F36" s="138">
        <v>0.05</v>
      </c>
      <c r="G36" s="138">
        <v>0.1</v>
      </c>
      <c r="H36" s="10"/>
      <c r="I36" s="139">
        <f t="shared" ref="I36" si="47">SUM(J36)-(J36*F36)</f>
        <v>380</v>
      </c>
      <c r="J36" s="140">
        <v>400</v>
      </c>
      <c r="K36" s="141">
        <f t="shared" ref="K36" si="48">SUM(J36)+(J36*G36)</f>
        <v>440</v>
      </c>
      <c r="L36" s="32"/>
      <c r="M36" s="142">
        <f t="shared" ref="M36" si="49">$D36*I36</f>
        <v>21527</v>
      </c>
      <c r="N36" s="142">
        <f t="shared" ref="N36" si="50">$D36*J36</f>
        <v>22660</v>
      </c>
      <c r="O36" s="142">
        <f t="shared" ref="O36" si="51">$D36*K36</f>
        <v>24926</v>
      </c>
      <c r="P36" s="32"/>
      <c r="Q36" s="142">
        <f t="shared" ref="Q36" si="52">(M36+3*N36+O36)/5</f>
        <v>22886.6</v>
      </c>
      <c r="R36" s="142">
        <f t="shared" ref="R36" si="53">(O36-M36)/5</f>
        <v>679.8</v>
      </c>
      <c r="S36" s="143">
        <f t="shared" ref="S36" si="54">R36^2/1000000</f>
        <v>0.46212803999999991</v>
      </c>
      <c r="T36" s="34"/>
      <c r="U36" s="144">
        <f>100*S36/$S$93</f>
        <v>6.0090027207368901E-4</v>
      </c>
      <c r="V36" s="14"/>
      <c r="W36" s="128"/>
    </row>
    <row r="37" spans="1:24" x14ac:dyDescent="0.2">
      <c r="A37" s="51"/>
      <c r="B37" s="21"/>
      <c r="C37" s="65"/>
      <c r="D37" s="58"/>
      <c r="E37" s="35"/>
      <c r="F37" s="45"/>
      <c r="G37" s="45"/>
      <c r="H37" s="10"/>
      <c r="I37" s="32"/>
      <c r="J37" s="32"/>
      <c r="K37" s="32"/>
      <c r="L37" s="32"/>
      <c r="M37" s="36"/>
      <c r="N37" s="36"/>
      <c r="O37" s="36"/>
      <c r="P37" s="32"/>
      <c r="Q37" s="36"/>
      <c r="R37" s="36"/>
      <c r="S37" s="34"/>
      <c r="T37" s="34"/>
      <c r="U37" s="29"/>
      <c r="V37" s="14"/>
      <c r="W37" s="128"/>
      <c r="X37" s="9"/>
    </row>
    <row r="38" spans="1:24" x14ac:dyDescent="0.2">
      <c r="A38" s="94" t="s">
        <v>91</v>
      </c>
      <c r="B38" s="94"/>
      <c r="C38" s="95"/>
      <c r="D38" s="96"/>
      <c r="E38" s="97"/>
      <c r="F38" s="98"/>
      <c r="G38" s="98"/>
      <c r="H38" s="10"/>
      <c r="I38" s="109"/>
      <c r="J38" s="110"/>
      <c r="K38" s="111"/>
      <c r="L38" s="32"/>
      <c r="M38" s="111">
        <f>SUM(M39:M44)</f>
        <v>759928.75</v>
      </c>
      <c r="N38" s="111">
        <f>SUM(N39:N44)</f>
        <v>799925</v>
      </c>
      <c r="O38" s="111">
        <f>SUM(O39:O44)</f>
        <v>879917.5</v>
      </c>
      <c r="P38" s="32"/>
      <c r="Q38" s="111">
        <f>SUM(Q39:Q44)</f>
        <v>807924.25</v>
      </c>
      <c r="R38" s="111">
        <f>SUM(R39:R44)</f>
        <v>23997.75</v>
      </c>
      <c r="S38" s="111">
        <f>SUM(S39:S44)</f>
        <v>142.0197778125</v>
      </c>
      <c r="T38" s="34"/>
      <c r="U38" s="112">
        <f>SUM(U39:U44)</f>
        <v>0.18466683633258033</v>
      </c>
      <c r="V38" s="14"/>
      <c r="W38" s="113"/>
      <c r="X38" s="9"/>
    </row>
    <row r="39" spans="1:24" x14ac:dyDescent="0.2">
      <c r="A39" s="51"/>
      <c r="B39" s="93" t="s">
        <v>72</v>
      </c>
      <c r="C39" s="64" t="s">
        <v>28</v>
      </c>
      <c r="D39" s="59">
        <v>869</v>
      </c>
      <c r="E39" s="41" t="s">
        <v>13</v>
      </c>
      <c r="F39" s="25">
        <v>0.05</v>
      </c>
      <c r="G39" s="25">
        <v>0.1</v>
      </c>
      <c r="H39" s="10"/>
      <c r="I39" s="42">
        <f t="shared" ref="I39:I42" si="55">SUM(J39)-(J39*F39)</f>
        <v>166.25</v>
      </c>
      <c r="J39" s="43">
        <v>175</v>
      </c>
      <c r="K39" s="44">
        <f t="shared" ref="K39:K42" si="56">SUM(J39)+(J39*G39)</f>
        <v>192.5</v>
      </c>
      <c r="L39" s="32"/>
      <c r="M39" s="36">
        <f t="shared" ref="M39:O42" si="57">$D39*I39</f>
        <v>144471.25</v>
      </c>
      <c r="N39" s="36">
        <f t="shared" si="57"/>
        <v>152075</v>
      </c>
      <c r="O39" s="36">
        <f t="shared" si="57"/>
        <v>167282.5</v>
      </c>
      <c r="P39" s="32"/>
      <c r="Q39" s="36">
        <f t="shared" ref="Q39:Q42" si="58">(M39+3*N39+O39)/5</f>
        <v>153595.75</v>
      </c>
      <c r="R39" s="36">
        <f t="shared" ref="R39:R42" si="59">(O39-M39)/5</f>
        <v>4562.25</v>
      </c>
      <c r="S39" s="34">
        <f t="shared" ref="S39:S42" si="60">R39^2/1000000</f>
        <v>20.8141250625</v>
      </c>
      <c r="T39" s="34"/>
      <c r="U39" s="29">
        <f>100*S39/$S$93</f>
        <v>2.7064389802081788E-2</v>
      </c>
      <c r="V39" s="14"/>
      <c r="W39" s="126"/>
      <c r="X39" s="9"/>
    </row>
    <row r="40" spans="1:24" x14ac:dyDescent="0.2">
      <c r="A40" s="51"/>
      <c r="B40" s="93" t="s">
        <v>73</v>
      </c>
      <c r="C40" s="64" t="s">
        <v>28</v>
      </c>
      <c r="D40" s="59">
        <v>1210</v>
      </c>
      <c r="E40" s="41" t="s">
        <v>13</v>
      </c>
      <c r="F40" s="25">
        <v>0.05</v>
      </c>
      <c r="G40" s="25">
        <v>0.1</v>
      </c>
      <c r="H40" s="10"/>
      <c r="I40" s="42">
        <f t="shared" si="55"/>
        <v>166.25</v>
      </c>
      <c r="J40" s="43">
        <v>175</v>
      </c>
      <c r="K40" s="44">
        <f t="shared" si="56"/>
        <v>192.5</v>
      </c>
      <c r="L40" s="32"/>
      <c r="M40" s="36">
        <f t="shared" si="57"/>
        <v>201162.5</v>
      </c>
      <c r="N40" s="36">
        <f t="shared" si="57"/>
        <v>211750</v>
      </c>
      <c r="O40" s="36">
        <f t="shared" si="57"/>
        <v>232925</v>
      </c>
      <c r="P40" s="32"/>
      <c r="Q40" s="36">
        <f t="shared" si="58"/>
        <v>213867.5</v>
      </c>
      <c r="R40" s="36">
        <f t="shared" si="59"/>
        <v>6352.5</v>
      </c>
      <c r="S40" s="34">
        <f t="shared" si="60"/>
        <v>40.354256249999999</v>
      </c>
      <c r="T40" s="34"/>
      <c r="U40" s="29">
        <f>100*S40/$S$93</f>
        <v>5.247221865168876E-2</v>
      </c>
      <c r="V40" s="14"/>
      <c r="W40" s="126"/>
      <c r="X40" s="9"/>
    </row>
    <row r="41" spans="1:24" x14ac:dyDescent="0.2">
      <c r="A41" s="51"/>
      <c r="B41" s="93" t="s">
        <v>74</v>
      </c>
      <c r="C41" s="64" t="s">
        <v>28</v>
      </c>
      <c r="D41" s="59">
        <v>1210</v>
      </c>
      <c r="E41" s="41" t="s">
        <v>13</v>
      </c>
      <c r="F41" s="25">
        <v>0.05</v>
      </c>
      <c r="G41" s="25">
        <v>0.1</v>
      </c>
      <c r="H41" s="10"/>
      <c r="I41" s="42">
        <f t="shared" si="55"/>
        <v>166.25</v>
      </c>
      <c r="J41" s="43">
        <v>175</v>
      </c>
      <c r="K41" s="44">
        <f t="shared" si="56"/>
        <v>192.5</v>
      </c>
      <c r="L41" s="32"/>
      <c r="M41" s="36">
        <f t="shared" si="57"/>
        <v>201162.5</v>
      </c>
      <c r="N41" s="36">
        <f t="shared" si="57"/>
        <v>211750</v>
      </c>
      <c r="O41" s="36">
        <f t="shared" si="57"/>
        <v>232925</v>
      </c>
      <c r="P41" s="32"/>
      <c r="Q41" s="36">
        <f t="shared" si="58"/>
        <v>213867.5</v>
      </c>
      <c r="R41" s="36">
        <f t="shared" si="59"/>
        <v>6352.5</v>
      </c>
      <c r="S41" s="34">
        <f t="shared" si="60"/>
        <v>40.354256249999999</v>
      </c>
      <c r="T41" s="34"/>
      <c r="U41" s="29">
        <f>100*S41/$S$93</f>
        <v>5.247221865168876E-2</v>
      </c>
      <c r="V41" s="14"/>
      <c r="W41" s="126"/>
      <c r="X41" s="9"/>
    </row>
    <row r="42" spans="1:24" x14ac:dyDescent="0.2">
      <c r="A42" s="51"/>
      <c r="B42" s="93" t="s">
        <v>75</v>
      </c>
      <c r="C42" s="64" t="s">
        <v>28</v>
      </c>
      <c r="D42" s="59">
        <v>1210</v>
      </c>
      <c r="E42" s="41" t="s">
        <v>13</v>
      </c>
      <c r="F42" s="25">
        <v>0.05</v>
      </c>
      <c r="G42" s="25">
        <v>0.1</v>
      </c>
      <c r="H42" s="10"/>
      <c r="I42" s="42">
        <f t="shared" si="55"/>
        <v>166.25</v>
      </c>
      <c r="J42" s="43">
        <v>175</v>
      </c>
      <c r="K42" s="44">
        <f t="shared" si="56"/>
        <v>192.5</v>
      </c>
      <c r="L42" s="32"/>
      <c r="M42" s="36">
        <f t="shared" si="57"/>
        <v>201162.5</v>
      </c>
      <c r="N42" s="36">
        <f t="shared" si="57"/>
        <v>211750</v>
      </c>
      <c r="O42" s="36">
        <f t="shared" si="57"/>
        <v>232925</v>
      </c>
      <c r="P42" s="32"/>
      <c r="Q42" s="36">
        <f t="shared" si="58"/>
        <v>213867.5</v>
      </c>
      <c r="R42" s="36">
        <f t="shared" si="59"/>
        <v>6352.5</v>
      </c>
      <c r="S42" s="34">
        <f t="shared" si="60"/>
        <v>40.354256249999999</v>
      </c>
      <c r="T42" s="34"/>
      <c r="U42" s="29">
        <f>100*S42/$S$93</f>
        <v>5.247221865168876E-2</v>
      </c>
      <c r="V42" s="14"/>
      <c r="W42" s="126"/>
      <c r="X42" s="9"/>
    </row>
    <row r="43" spans="1:24" x14ac:dyDescent="0.2">
      <c r="A43" s="135"/>
      <c r="B43" s="152" t="s">
        <v>104</v>
      </c>
      <c r="C43" s="136" t="s">
        <v>28</v>
      </c>
      <c r="D43" s="133">
        <v>72</v>
      </c>
      <c r="E43" s="137" t="s">
        <v>13</v>
      </c>
      <c r="F43" s="138">
        <v>0.05</v>
      </c>
      <c r="G43" s="138">
        <v>0.1</v>
      </c>
      <c r="H43" s="10"/>
      <c r="I43" s="139">
        <f t="shared" ref="I43" si="61">SUM(J43)-(J43*F43)</f>
        <v>166.25</v>
      </c>
      <c r="J43" s="140">
        <v>175</v>
      </c>
      <c r="K43" s="141">
        <f t="shared" ref="K43" si="62">SUM(J43)+(J43*G43)</f>
        <v>192.5</v>
      </c>
      <c r="L43" s="32"/>
      <c r="M43" s="142">
        <f t="shared" ref="M43" si="63">$D43*I43</f>
        <v>11970</v>
      </c>
      <c r="N43" s="142">
        <f t="shared" ref="N43" si="64">$D43*J43</f>
        <v>12600</v>
      </c>
      <c r="O43" s="142">
        <f t="shared" ref="O43" si="65">$D43*K43</f>
        <v>13860</v>
      </c>
      <c r="P43" s="32"/>
      <c r="Q43" s="142">
        <f t="shared" ref="Q43" si="66">(M43+3*N43+O43)/5</f>
        <v>12726</v>
      </c>
      <c r="R43" s="142">
        <f t="shared" ref="R43" si="67">(O43-M43)/5</f>
        <v>378</v>
      </c>
      <c r="S43" s="143">
        <f t="shared" ref="S43" si="68">R43^2/1000000</f>
        <v>0.14288400000000001</v>
      </c>
      <c r="T43" s="34"/>
      <c r="U43" s="144">
        <f>100*S43/$S$93</f>
        <v>1.8579057543224818E-4</v>
      </c>
      <c r="V43" s="14"/>
      <c r="W43" s="114"/>
      <c r="X43" s="9"/>
    </row>
    <row r="44" spans="1:24" x14ac:dyDescent="0.2">
      <c r="A44" s="51"/>
      <c r="B44" s="21"/>
      <c r="C44" s="65"/>
      <c r="D44" s="58"/>
      <c r="E44" s="35"/>
      <c r="F44" s="45"/>
      <c r="G44" s="45"/>
      <c r="H44" s="10"/>
      <c r="I44" s="32"/>
      <c r="J44" s="32"/>
      <c r="K44" s="32"/>
      <c r="L44" s="32"/>
      <c r="M44" s="36"/>
      <c r="N44" s="36"/>
      <c r="O44" s="36"/>
      <c r="P44" s="32"/>
      <c r="Q44" s="36"/>
      <c r="R44" s="36"/>
      <c r="S44" s="34"/>
      <c r="T44" s="34"/>
      <c r="U44" s="29"/>
      <c r="V44" s="14"/>
      <c r="W44" s="114"/>
      <c r="X44" s="9"/>
    </row>
    <row r="45" spans="1:24" x14ac:dyDescent="0.2">
      <c r="A45" s="99" t="s">
        <v>93</v>
      </c>
      <c r="B45" s="99"/>
      <c r="C45" s="100"/>
      <c r="D45" s="101"/>
      <c r="E45" s="102"/>
      <c r="F45" s="103"/>
      <c r="G45" s="103"/>
      <c r="H45" s="10"/>
      <c r="I45" s="104"/>
      <c r="J45" s="105"/>
      <c r="K45" s="106"/>
      <c r="L45" s="32"/>
      <c r="M45" s="106">
        <f>SUM(M46:M49)</f>
        <v>1472082</v>
      </c>
      <c r="N45" s="106">
        <f>SUM(N46:N49)</f>
        <v>1549560</v>
      </c>
      <c r="O45" s="106">
        <f>SUM(O46:O49)</f>
        <v>1704516</v>
      </c>
      <c r="P45" s="32"/>
      <c r="Q45" s="106">
        <f>SUM(Q46:Q49)</f>
        <v>1565055.6</v>
      </c>
      <c r="R45" s="106">
        <f>SUM(R46:R49)</f>
        <v>46486.8</v>
      </c>
      <c r="S45" s="106">
        <f>SUM(S46:S49)</f>
        <v>545.16995280000003</v>
      </c>
      <c r="T45" s="34"/>
      <c r="U45" s="107">
        <f>SUM(U46:U49)</f>
        <v>0.70887880545815896</v>
      </c>
      <c r="V45" s="14"/>
      <c r="W45" s="108"/>
      <c r="X45" s="9"/>
    </row>
    <row r="46" spans="1:24" s="9" customFormat="1" x14ac:dyDescent="0.2">
      <c r="A46" s="51"/>
      <c r="B46" s="93" t="s">
        <v>64</v>
      </c>
      <c r="C46" s="64" t="s">
        <v>28</v>
      </c>
      <c r="D46" s="59">
        <f>SUM(D24-21)</f>
        <v>848</v>
      </c>
      <c r="E46" s="41" t="s">
        <v>13</v>
      </c>
      <c r="F46" s="25">
        <v>0.05</v>
      </c>
      <c r="G46" s="25">
        <v>0.1</v>
      </c>
      <c r="H46" s="10"/>
      <c r="I46" s="42">
        <f t="shared" ref="I46:I49" si="69">SUM(J46)-(J46*F46)</f>
        <v>380</v>
      </c>
      <c r="J46" s="43">
        <v>400</v>
      </c>
      <c r="K46" s="44">
        <f t="shared" ref="K46:K49" si="70">SUM(J46)+(J46*G46)</f>
        <v>440</v>
      </c>
      <c r="L46" s="32"/>
      <c r="M46" s="36">
        <f t="shared" ref="M46:O49" si="71">$D46*I46</f>
        <v>322240</v>
      </c>
      <c r="N46" s="36">
        <f t="shared" si="71"/>
        <v>339200</v>
      </c>
      <c r="O46" s="36">
        <f t="shared" si="71"/>
        <v>373120</v>
      </c>
      <c r="P46" s="32"/>
      <c r="Q46" s="36">
        <f t="shared" ref="Q46:Q49" si="72">(M46+3*N46+O46)/5</f>
        <v>342592</v>
      </c>
      <c r="R46" s="36">
        <f t="shared" ref="R46:R49" si="73">(O46-M46)/5</f>
        <v>10176</v>
      </c>
      <c r="S46" s="34">
        <f t="shared" ref="S46:S49" si="74">R46^2/1000000</f>
        <v>103.55097600000001</v>
      </c>
      <c r="T46" s="34"/>
      <c r="U46" s="29">
        <f>100*S46/$S$93</f>
        <v>0.1346462544274441</v>
      </c>
      <c r="V46" s="14"/>
      <c r="W46" s="125" t="s">
        <v>83</v>
      </c>
    </row>
    <row r="47" spans="1:24" s="9" customFormat="1" x14ac:dyDescent="0.2">
      <c r="A47" s="51"/>
      <c r="B47" s="93" t="s">
        <v>65</v>
      </c>
      <c r="C47" s="64" t="s">
        <v>28</v>
      </c>
      <c r="D47" s="59">
        <f>SUM(D25-115.5)</f>
        <v>1094.5</v>
      </c>
      <c r="E47" s="41" t="s">
        <v>13</v>
      </c>
      <c r="F47" s="25">
        <v>0.05</v>
      </c>
      <c r="G47" s="25">
        <v>0.1</v>
      </c>
      <c r="H47" s="10"/>
      <c r="I47" s="42">
        <f t="shared" ref="I47" si="75">SUM(J47)-(J47*F47)</f>
        <v>380</v>
      </c>
      <c r="J47" s="43">
        <v>400</v>
      </c>
      <c r="K47" s="44">
        <f t="shared" ref="K47" si="76">SUM(J47)+(J47*G47)</f>
        <v>440</v>
      </c>
      <c r="L47" s="32"/>
      <c r="M47" s="36">
        <f t="shared" si="71"/>
        <v>415910</v>
      </c>
      <c r="N47" s="36">
        <f t="shared" si="71"/>
        <v>437800</v>
      </c>
      <c r="O47" s="36">
        <f t="shared" si="71"/>
        <v>481580</v>
      </c>
      <c r="P47" s="32"/>
      <c r="Q47" s="36">
        <f t="shared" ref="Q47" si="77">(M47+3*N47+O47)/5</f>
        <v>442178</v>
      </c>
      <c r="R47" s="36">
        <f t="shared" ref="R47" si="78">(O47-M47)/5</f>
        <v>13134</v>
      </c>
      <c r="S47" s="34">
        <f t="shared" ref="S47" si="79">R47^2/1000000</f>
        <v>172.50195600000001</v>
      </c>
      <c r="T47" s="34"/>
      <c r="U47" s="29">
        <f>100*S47/$S$93</f>
        <v>0.22430249480997422</v>
      </c>
      <c r="V47" s="14"/>
      <c r="W47" s="128"/>
    </row>
    <row r="48" spans="1:24" s="9" customFormat="1" x14ac:dyDescent="0.2">
      <c r="A48" s="51"/>
      <c r="B48" s="93" t="s">
        <v>66</v>
      </c>
      <c r="C48" s="64" t="s">
        <v>28</v>
      </c>
      <c r="D48" s="59">
        <f>SUM(D26-201.2)</f>
        <v>1008.8</v>
      </c>
      <c r="E48" s="41" t="s">
        <v>13</v>
      </c>
      <c r="F48" s="25">
        <v>0.05</v>
      </c>
      <c r="G48" s="25">
        <v>0.1</v>
      </c>
      <c r="H48" s="10"/>
      <c r="I48" s="42">
        <f t="shared" si="69"/>
        <v>380</v>
      </c>
      <c r="J48" s="43">
        <v>400</v>
      </c>
      <c r="K48" s="44">
        <f t="shared" si="70"/>
        <v>440</v>
      </c>
      <c r="L48" s="32"/>
      <c r="M48" s="36">
        <f t="shared" si="71"/>
        <v>383344</v>
      </c>
      <c r="N48" s="36">
        <f t="shared" si="71"/>
        <v>403520</v>
      </c>
      <c r="O48" s="36">
        <f t="shared" si="71"/>
        <v>443872</v>
      </c>
      <c r="P48" s="32"/>
      <c r="Q48" s="36">
        <f t="shared" si="72"/>
        <v>407555.2</v>
      </c>
      <c r="R48" s="36">
        <f t="shared" si="73"/>
        <v>12105.6</v>
      </c>
      <c r="S48" s="34">
        <f t="shared" si="74"/>
        <v>146.54555136000002</v>
      </c>
      <c r="T48" s="34"/>
      <c r="U48" s="29">
        <f>100*S48/$S$93</f>
        <v>0.19055165248880548</v>
      </c>
      <c r="V48" s="14"/>
      <c r="W48" s="128"/>
    </row>
    <row r="49" spans="1:24" s="9" customFormat="1" x14ac:dyDescent="0.2">
      <c r="A49" s="51"/>
      <c r="B49" s="93" t="s">
        <v>67</v>
      </c>
      <c r="C49" s="64" t="s">
        <v>28</v>
      </c>
      <c r="D49" s="59">
        <f>SUM(D27-287.4)</f>
        <v>922.6</v>
      </c>
      <c r="E49" s="41" t="s">
        <v>13</v>
      </c>
      <c r="F49" s="25">
        <v>0.05</v>
      </c>
      <c r="G49" s="25">
        <v>0.1</v>
      </c>
      <c r="H49" s="10"/>
      <c r="I49" s="42">
        <f t="shared" si="69"/>
        <v>380</v>
      </c>
      <c r="J49" s="43">
        <v>400</v>
      </c>
      <c r="K49" s="44">
        <f t="shared" si="70"/>
        <v>440</v>
      </c>
      <c r="L49" s="32"/>
      <c r="M49" s="36">
        <f t="shared" si="71"/>
        <v>350588</v>
      </c>
      <c r="N49" s="36">
        <f t="shared" si="71"/>
        <v>369040</v>
      </c>
      <c r="O49" s="36">
        <f t="shared" si="71"/>
        <v>405944</v>
      </c>
      <c r="P49" s="32"/>
      <c r="Q49" s="36">
        <f t="shared" si="72"/>
        <v>372730.4</v>
      </c>
      <c r="R49" s="36">
        <f t="shared" si="73"/>
        <v>11071.2</v>
      </c>
      <c r="S49" s="34">
        <f t="shared" si="74"/>
        <v>122.57146944000002</v>
      </c>
      <c r="T49" s="34"/>
      <c r="U49" s="29">
        <f>100*S49/$S$93</f>
        <v>0.15937840373193518</v>
      </c>
      <c r="V49" s="14"/>
      <c r="W49" s="128"/>
    </row>
    <row r="50" spans="1:24" x14ac:dyDescent="0.2">
      <c r="A50" s="51"/>
      <c r="B50" s="21"/>
      <c r="C50" s="65"/>
      <c r="D50" s="58"/>
      <c r="E50" s="35"/>
      <c r="F50" s="45"/>
      <c r="G50" s="45"/>
      <c r="H50" s="10"/>
      <c r="I50" s="32"/>
      <c r="J50" s="32"/>
      <c r="K50" s="32"/>
      <c r="L50" s="32"/>
      <c r="M50" s="36"/>
      <c r="N50" s="36"/>
      <c r="O50" s="36"/>
      <c r="P50" s="32"/>
      <c r="Q50" s="36"/>
      <c r="R50" s="36"/>
      <c r="S50" s="34"/>
      <c r="T50" s="34"/>
      <c r="U50" s="29"/>
      <c r="V50" s="14"/>
      <c r="W50" s="128"/>
      <c r="X50" s="9"/>
    </row>
    <row r="51" spans="1:24" x14ac:dyDescent="0.2">
      <c r="A51" s="99" t="s">
        <v>92</v>
      </c>
      <c r="B51" s="99"/>
      <c r="C51" s="100"/>
      <c r="D51" s="101"/>
      <c r="E51" s="102"/>
      <c r="F51" s="103"/>
      <c r="G51" s="103"/>
      <c r="H51" s="10"/>
      <c r="I51" s="104"/>
      <c r="J51" s="105"/>
      <c r="K51" s="106"/>
      <c r="L51" s="32"/>
      <c r="M51" s="106">
        <f>SUM(M52:M55)</f>
        <v>747958.75</v>
      </c>
      <c r="N51" s="106">
        <f>SUM(N52:N55)</f>
        <v>787325</v>
      </c>
      <c r="O51" s="106">
        <f>SUM(O52:O55)</f>
        <v>866057.5</v>
      </c>
      <c r="P51" s="32"/>
      <c r="Q51" s="106">
        <f>SUM(Q52:Q55)</f>
        <v>795198.25</v>
      </c>
      <c r="R51" s="106">
        <f>SUM(R52:R55)</f>
        <v>23619.75</v>
      </c>
      <c r="S51" s="106">
        <f>SUM(S52:S55)</f>
        <v>141.87689381249999</v>
      </c>
      <c r="T51" s="34"/>
      <c r="U51" s="107">
        <f>SUM(U52:U55)</f>
        <v>0.18448104575714808</v>
      </c>
      <c r="V51" s="14"/>
      <c r="W51" s="108"/>
      <c r="X51" s="9"/>
    </row>
    <row r="52" spans="1:24" x14ac:dyDescent="0.2">
      <c r="A52" s="51"/>
      <c r="B52" s="93" t="s">
        <v>76</v>
      </c>
      <c r="C52" s="64" t="s">
        <v>28</v>
      </c>
      <c r="D52" s="59">
        <v>869</v>
      </c>
      <c r="E52" s="41" t="s">
        <v>13</v>
      </c>
      <c r="F52" s="25">
        <v>0.05</v>
      </c>
      <c r="G52" s="25">
        <v>0.1</v>
      </c>
      <c r="H52" s="10"/>
      <c r="I52" s="42">
        <f t="shared" ref="I52:I54" si="80">SUM(J52)-(J52*F52)</f>
        <v>166.25</v>
      </c>
      <c r="J52" s="43">
        <v>175</v>
      </c>
      <c r="K52" s="44">
        <f t="shared" ref="K52:K54" si="81">SUM(J52)+(J52*G52)</f>
        <v>192.5</v>
      </c>
      <c r="L52" s="32"/>
      <c r="M52" s="36">
        <f t="shared" ref="M52:M54" si="82">$D52*I52</f>
        <v>144471.25</v>
      </c>
      <c r="N52" s="36">
        <f t="shared" ref="N52:N54" si="83">$D52*J52</f>
        <v>152075</v>
      </c>
      <c r="O52" s="36">
        <f t="shared" ref="O52:O54" si="84">$D52*K52</f>
        <v>167282.5</v>
      </c>
      <c r="P52" s="32"/>
      <c r="Q52" s="36">
        <f t="shared" ref="Q52:Q54" si="85">(M52+3*N52+O52)/5</f>
        <v>153595.75</v>
      </c>
      <c r="R52" s="36">
        <f t="shared" ref="R52:R54" si="86">(O52-M52)/5</f>
        <v>4562.25</v>
      </c>
      <c r="S52" s="34">
        <f t="shared" ref="S52:S54" si="87">R52^2/1000000</f>
        <v>20.8141250625</v>
      </c>
      <c r="T52" s="34"/>
      <c r="U52" s="29">
        <f>100*S52/$S$93</f>
        <v>2.7064389802081788E-2</v>
      </c>
      <c r="V52" s="14"/>
      <c r="X52" s="9"/>
    </row>
    <row r="53" spans="1:24" x14ac:dyDescent="0.2">
      <c r="A53" s="51"/>
      <c r="B53" s="93" t="s">
        <v>78</v>
      </c>
      <c r="C53" s="64" t="s">
        <v>28</v>
      </c>
      <c r="D53" s="59">
        <v>1210</v>
      </c>
      <c r="E53" s="41" t="s">
        <v>13</v>
      </c>
      <c r="F53" s="25">
        <v>0.05</v>
      </c>
      <c r="G53" s="25">
        <v>0.1</v>
      </c>
      <c r="H53" s="10"/>
      <c r="I53" s="42">
        <f t="shared" ref="I53" si="88">SUM(J53)-(J53*F53)</f>
        <v>166.25</v>
      </c>
      <c r="J53" s="43">
        <v>175</v>
      </c>
      <c r="K53" s="44">
        <f t="shared" ref="K53" si="89">SUM(J53)+(J53*G53)</f>
        <v>192.5</v>
      </c>
      <c r="L53" s="32"/>
      <c r="M53" s="36">
        <f t="shared" ref="M53" si="90">$D53*I53</f>
        <v>201162.5</v>
      </c>
      <c r="N53" s="36">
        <f t="shared" ref="N53" si="91">$D53*J53</f>
        <v>211750</v>
      </c>
      <c r="O53" s="36">
        <f t="shared" ref="O53" si="92">$D53*K53</f>
        <v>232925</v>
      </c>
      <c r="P53" s="32"/>
      <c r="Q53" s="36">
        <f t="shared" ref="Q53" si="93">(M53+3*N53+O53)/5</f>
        <v>213867.5</v>
      </c>
      <c r="R53" s="36">
        <f t="shared" ref="R53" si="94">(O53-M53)/5</f>
        <v>6352.5</v>
      </c>
      <c r="S53" s="34">
        <f t="shared" ref="S53" si="95">R53^2/1000000</f>
        <v>40.354256249999999</v>
      </c>
      <c r="T53" s="34"/>
      <c r="U53" s="29">
        <f>100*S53/$S$93</f>
        <v>5.247221865168876E-2</v>
      </c>
      <c r="V53" s="14"/>
      <c r="W53" s="115"/>
      <c r="X53" s="9"/>
    </row>
    <row r="54" spans="1:24" x14ac:dyDescent="0.2">
      <c r="A54" s="51"/>
      <c r="B54" s="93" t="s">
        <v>79</v>
      </c>
      <c r="C54" s="64" t="s">
        <v>28</v>
      </c>
      <c r="D54" s="59">
        <v>1210</v>
      </c>
      <c r="E54" s="41" t="s">
        <v>13</v>
      </c>
      <c r="F54" s="25">
        <v>0.05</v>
      </c>
      <c r="G54" s="25">
        <v>0.1</v>
      </c>
      <c r="H54" s="10"/>
      <c r="I54" s="42">
        <f t="shared" si="80"/>
        <v>166.25</v>
      </c>
      <c r="J54" s="43">
        <v>175</v>
      </c>
      <c r="K54" s="44">
        <f t="shared" si="81"/>
        <v>192.5</v>
      </c>
      <c r="L54" s="32"/>
      <c r="M54" s="36">
        <f t="shared" si="82"/>
        <v>201162.5</v>
      </c>
      <c r="N54" s="36">
        <f t="shared" si="83"/>
        <v>211750</v>
      </c>
      <c r="O54" s="36">
        <f t="shared" si="84"/>
        <v>232925</v>
      </c>
      <c r="P54" s="32"/>
      <c r="Q54" s="36">
        <f t="shared" si="85"/>
        <v>213867.5</v>
      </c>
      <c r="R54" s="36">
        <f t="shared" si="86"/>
        <v>6352.5</v>
      </c>
      <c r="S54" s="34">
        <f t="shared" si="87"/>
        <v>40.354256249999999</v>
      </c>
      <c r="T54" s="34"/>
      <c r="U54" s="29">
        <f>100*S54/$S$93</f>
        <v>5.247221865168876E-2</v>
      </c>
      <c r="V54" s="14"/>
      <c r="W54" s="115"/>
      <c r="X54" s="9"/>
    </row>
    <row r="55" spans="1:24" x14ac:dyDescent="0.2">
      <c r="A55" s="51"/>
      <c r="B55" s="93" t="s">
        <v>77</v>
      </c>
      <c r="C55" s="64" t="s">
        <v>28</v>
      </c>
      <c r="D55" s="59">
        <v>1210</v>
      </c>
      <c r="E55" s="41" t="s">
        <v>13</v>
      </c>
      <c r="F55" s="25">
        <v>0.05</v>
      </c>
      <c r="G55" s="25">
        <v>0.1</v>
      </c>
      <c r="H55" s="10"/>
      <c r="I55" s="42">
        <f t="shared" ref="I55" si="96">SUM(J55)-(J55*F55)</f>
        <v>166.25</v>
      </c>
      <c r="J55" s="43">
        <v>175</v>
      </c>
      <c r="K55" s="44">
        <f t="shared" ref="K55" si="97">SUM(J55)+(J55*G55)</f>
        <v>192.5</v>
      </c>
      <c r="L55" s="32"/>
      <c r="M55" s="36">
        <f t="shared" ref="M55:O55" si="98">$D55*I55</f>
        <v>201162.5</v>
      </c>
      <c r="N55" s="36">
        <f t="shared" si="98"/>
        <v>211750</v>
      </c>
      <c r="O55" s="36">
        <f t="shared" si="98"/>
        <v>232925</v>
      </c>
      <c r="P55" s="32"/>
      <c r="Q55" s="36">
        <f t="shared" ref="Q55" si="99">(M55+3*N55+O55)/5</f>
        <v>213867.5</v>
      </c>
      <c r="R55" s="36">
        <f t="shared" ref="R55" si="100">(O55-M55)/5</f>
        <v>6352.5</v>
      </c>
      <c r="S55" s="34">
        <f t="shared" ref="S55" si="101">R55^2/1000000</f>
        <v>40.354256249999999</v>
      </c>
      <c r="T55" s="34"/>
      <c r="U55" s="29">
        <f>100*S55/$S$93</f>
        <v>5.247221865168876E-2</v>
      </c>
      <c r="V55" s="14"/>
      <c r="W55" s="115"/>
      <c r="X55" s="9"/>
    </row>
    <row r="56" spans="1:24" x14ac:dyDescent="0.2">
      <c r="A56" s="51"/>
      <c r="B56" s="21"/>
      <c r="C56" s="65"/>
      <c r="D56" s="58"/>
      <c r="E56" s="35"/>
      <c r="F56" s="45"/>
      <c r="G56" s="45"/>
      <c r="H56" s="10"/>
      <c r="I56" s="32"/>
      <c r="J56" s="32"/>
      <c r="K56" s="32"/>
      <c r="L56" s="32"/>
      <c r="M56" s="36"/>
      <c r="N56" s="36"/>
      <c r="O56" s="36"/>
      <c r="P56" s="32"/>
      <c r="Q56" s="36"/>
      <c r="R56" s="36"/>
      <c r="S56" s="34"/>
      <c r="T56" s="34"/>
      <c r="U56" s="29"/>
      <c r="V56" s="14"/>
      <c r="W56" s="115"/>
      <c r="X56" s="9"/>
    </row>
    <row r="57" spans="1:24" x14ac:dyDescent="0.2">
      <c r="A57" s="26" t="s">
        <v>42</v>
      </c>
      <c r="B57" s="26"/>
      <c r="C57" s="62"/>
      <c r="D57" s="75"/>
      <c r="E57" s="76"/>
      <c r="F57" s="77"/>
      <c r="G57" s="77"/>
      <c r="H57" s="10"/>
      <c r="I57" s="78"/>
      <c r="J57" s="79"/>
      <c r="K57" s="78"/>
      <c r="L57" s="32"/>
      <c r="M57" s="80">
        <f>SUM(M58:M60)</f>
        <v>1819950</v>
      </c>
      <c r="N57" s="80">
        <f>SUM(N58:N60)</f>
        <v>2013000</v>
      </c>
      <c r="O57" s="80">
        <f>SUM(O58:O60)</f>
        <v>2328425</v>
      </c>
      <c r="P57" s="32"/>
      <c r="Q57" s="80">
        <f>SUM(Q58:Q60)</f>
        <v>2037475</v>
      </c>
      <c r="R57" s="80">
        <f>SUM(R58:R60)</f>
        <v>101695</v>
      </c>
      <c r="S57" s="80">
        <f>SUM(S58:S60)</f>
        <v>6534.1845250000006</v>
      </c>
      <c r="T57" s="34"/>
      <c r="U57" s="81">
        <f>SUM(U58:U60)</f>
        <v>8.4963320097438579</v>
      </c>
      <c r="V57" s="14"/>
      <c r="W57" s="82"/>
      <c r="X57" s="9"/>
    </row>
    <row r="58" spans="1:24" x14ac:dyDescent="0.2">
      <c r="A58" s="9"/>
      <c r="B58" s="21" t="s">
        <v>48</v>
      </c>
      <c r="C58" s="136" t="s">
        <v>28</v>
      </c>
      <c r="D58" s="133">
        <v>2870</v>
      </c>
      <c r="E58" s="137" t="s">
        <v>13</v>
      </c>
      <c r="F58" s="138">
        <v>0.1</v>
      </c>
      <c r="G58" s="138">
        <v>0.15</v>
      </c>
      <c r="H58" s="10"/>
      <c r="I58" s="139">
        <f t="shared" ref="I58:I60" si="102">SUM(J58)-(J58*F58)</f>
        <v>495</v>
      </c>
      <c r="J58" s="140">
        <v>550</v>
      </c>
      <c r="K58" s="141">
        <f t="shared" ref="K58:K60" si="103">SUM(J58)+(J58*G58)</f>
        <v>632.5</v>
      </c>
      <c r="L58" s="32"/>
      <c r="M58" s="142">
        <f t="shared" ref="M58:O60" si="104">$D58*I58</f>
        <v>1420650</v>
      </c>
      <c r="N58" s="142">
        <f t="shared" si="104"/>
        <v>1578500</v>
      </c>
      <c r="O58" s="142">
        <f t="shared" si="104"/>
        <v>1815275</v>
      </c>
      <c r="P58" s="32"/>
      <c r="Q58" s="142">
        <f t="shared" ref="Q58" si="105">(M58+3*N58+O58)/5</f>
        <v>1594285</v>
      </c>
      <c r="R58" s="142">
        <f t="shared" ref="R58" si="106">(O58-M58)/5</f>
        <v>78925</v>
      </c>
      <c r="S58" s="143">
        <f t="shared" ref="S58" si="107">R58^2/1000000</f>
        <v>6229.1556250000003</v>
      </c>
      <c r="T58" s="34"/>
      <c r="U58" s="144">
        <f>100*S58/$S$93</f>
        <v>8.0997061114314803</v>
      </c>
      <c r="V58" s="14"/>
      <c r="W58" s="149" t="s">
        <v>101</v>
      </c>
      <c r="X58" s="9"/>
    </row>
    <row r="59" spans="1:24" x14ac:dyDescent="0.2">
      <c r="A59" s="9"/>
      <c r="B59" s="21" t="s">
        <v>49</v>
      </c>
      <c r="C59" s="64" t="s">
        <v>28</v>
      </c>
      <c r="D59" s="59">
        <v>300</v>
      </c>
      <c r="E59" s="41" t="s">
        <v>13</v>
      </c>
      <c r="F59" s="25">
        <v>0.05</v>
      </c>
      <c r="G59" s="25">
        <v>0.15</v>
      </c>
      <c r="H59" s="10"/>
      <c r="I59" s="42">
        <f>SUM(J59)-(J59*F59)</f>
        <v>522.5</v>
      </c>
      <c r="J59" s="43">
        <v>550</v>
      </c>
      <c r="K59" s="44">
        <f>SUM(J59)+(J59*G59)</f>
        <v>632.5</v>
      </c>
      <c r="L59" s="32"/>
      <c r="M59" s="36">
        <f t="shared" si="104"/>
        <v>156750</v>
      </c>
      <c r="N59" s="36">
        <f t="shared" si="104"/>
        <v>165000</v>
      </c>
      <c r="O59" s="36">
        <f t="shared" si="104"/>
        <v>189750</v>
      </c>
      <c r="P59" s="32"/>
      <c r="Q59" s="36">
        <f>(M59+3*N59+O59)/5</f>
        <v>168300</v>
      </c>
      <c r="R59" s="36">
        <f>(O59-M59)/5</f>
        <v>6600</v>
      </c>
      <c r="S59" s="34">
        <f>R59^2/1000000</f>
        <v>43.56</v>
      </c>
      <c r="T59" s="34"/>
      <c r="U59" s="29">
        <f>100*S59/$S$93</f>
        <v>5.6640613825401941E-2</v>
      </c>
      <c r="V59" s="14"/>
      <c r="W59" s="128"/>
      <c r="X59" s="9"/>
    </row>
    <row r="60" spans="1:24" x14ac:dyDescent="0.2">
      <c r="A60" s="9"/>
      <c r="B60" s="54" t="s">
        <v>87</v>
      </c>
      <c r="C60" s="136" t="s">
        <v>28</v>
      </c>
      <c r="D60" s="133">
        <v>490</v>
      </c>
      <c r="E60" s="137" t="s">
        <v>13</v>
      </c>
      <c r="F60" s="138">
        <v>0.1</v>
      </c>
      <c r="G60" s="138">
        <v>0.2</v>
      </c>
      <c r="H60" s="10"/>
      <c r="I60" s="139">
        <f t="shared" si="102"/>
        <v>495</v>
      </c>
      <c r="J60" s="140">
        <v>550</v>
      </c>
      <c r="K60" s="141">
        <f t="shared" si="103"/>
        <v>660</v>
      </c>
      <c r="L60" s="32"/>
      <c r="M60" s="142">
        <f t="shared" si="104"/>
        <v>242550</v>
      </c>
      <c r="N60" s="142">
        <f t="shared" si="104"/>
        <v>269500</v>
      </c>
      <c r="O60" s="142">
        <f t="shared" si="104"/>
        <v>323400</v>
      </c>
      <c r="P60" s="32"/>
      <c r="Q60" s="142">
        <f t="shared" ref="Q60" si="108">(M60+3*N60+O60)/5</f>
        <v>274890</v>
      </c>
      <c r="R60" s="142">
        <f t="shared" ref="R60" si="109">(O60-M60)/5</f>
        <v>16170</v>
      </c>
      <c r="S60" s="143">
        <f t="shared" ref="S60" si="110">R60^2/1000000</f>
        <v>261.46890000000002</v>
      </c>
      <c r="T60" s="34"/>
      <c r="U60" s="144">
        <f>100*S60/$S$93</f>
        <v>0.33998528448697518</v>
      </c>
      <c r="V60" s="14"/>
      <c r="W60" s="128"/>
      <c r="X60" s="9"/>
    </row>
    <row r="61" spans="1:24" x14ac:dyDescent="0.2">
      <c r="A61" s="22"/>
      <c r="B61" s="22"/>
      <c r="C61" s="61"/>
      <c r="D61" s="58"/>
      <c r="E61" s="35"/>
      <c r="F61" s="35"/>
      <c r="G61" s="35"/>
      <c r="H61" s="10"/>
      <c r="I61" s="32"/>
      <c r="J61" s="32"/>
      <c r="K61" s="32"/>
      <c r="L61" s="32"/>
      <c r="M61" s="36"/>
      <c r="N61" s="36"/>
      <c r="O61" s="36"/>
      <c r="P61" s="32"/>
      <c r="Q61" s="36"/>
      <c r="R61" s="36"/>
      <c r="S61" s="34"/>
      <c r="T61" s="34"/>
      <c r="U61" s="27"/>
      <c r="V61" s="14"/>
      <c r="W61" s="150"/>
      <c r="X61" s="9"/>
    </row>
    <row r="62" spans="1:24" x14ac:dyDescent="0.2">
      <c r="A62" s="23" t="s">
        <v>43</v>
      </c>
      <c r="B62" s="23"/>
      <c r="C62" s="63"/>
      <c r="D62" s="57"/>
      <c r="E62" s="37"/>
      <c r="F62" s="38"/>
      <c r="G62" s="38"/>
      <c r="H62" s="10"/>
      <c r="I62" s="39"/>
      <c r="J62" s="40"/>
      <c r="K62" s="39"/>
      <c r="L62" s="32"/>
      <c r="M62" s="33">
        <f>SUM(M63:M66)</f>
        <v>653125</v>
      </c>
      <c r="N62" s="33">
        <f>SUM(N63:N66)</f>
        <v>687500</v>
      </c>
      <c r="O62" s="33">
        <f>SUM(O63:O66)</f>
        <v>733062.5</v>
      </c>
      <c r="P62" s="32"/>
      <c r="Q62" s="33">
        <f>SUM(Q63:Q66)</f>
        <v>689737.5</v>
      </c>
      <c r="R62" s="33">
        <f>SUM(R63:R66)</f>
        <v>15987.5</v>
      </c>
      <c r="S62" s="33">
        <f>SUM(S63:S66)</f>
        <v>94.174731249999994</v>
      </c>
      <c r="T62" s="34"/>
      <c r="U62" s="28">
        <f>SUM(U63:U66)</f>
        <v>0.12245442113962951</v>
      </c>
      <c r="V62" s="14"/>
      <c r="W62" s="55"/>
      <c r="X62" s="9"/>
    </row>
    <row r="63" spans="1:24" x14ac:dyDescent="0.2">
      <c r="A63" s="51"/>
      <c r="B63" s="54" t="s">
        <v>50</v>
      </c>
      <c r="C63" s="136" t="s">
        <v>28</v>
      </c>
      <c r="D63" s="133">
        <v>2870</v>
      </c>
      <c r="E63" s="137" t="s">
        <v>13</v>
      </c>
      <c r="F63" s="138">
        <v>0.05</v>
      </c>
      <c r="G63" s="138">
        <v>0.05</v>
      </c>
      <c r="H63" s="10"/>
      <c r="I63" s="139">
        <f t="shared" ref="I63" si="111">SUM(J63)-(J63*F63)</f>
        <v>142.5</v>
      </c>
      <c r="J63" s="140">
        <v>150</v>
      </c>
      <c r="K63" s="141">
        <f t="shared" ref="K63" si="112">SUM(J63)+(J63*G63)</f>
        <v>157.5</v>
      </c>
      <c r="L63" s="32"/>
      <c r="M63" s="142">
        <f t="shared" ref="M63:M66" si="113">$D63*I63</f>
        <v>408975</v>
      </c>
      <c r="N63" s="142">
        <f t="shared" ref="N63:N66" si="114">$D63*J63</f>
        <v>430500</v>
      </c>
      <c r="O63" s="142">
        <f t="shared" ref="O63:O66" si="115">$D63*K63</f>
        <v>452025</v>
      </c>
      <c r="P63" s="32"/>
      <c r="Q63" s="142">
        <f t="shared" ref="Q63:Q65" si="116">(M63+3*N63+O63)/5</f>
        <v>430500</v>
      </c>
      <c r="R63" s="142">
        <f t="shared" ref="R63:R65" si="117">(O63-M63)/5</f>
        <v>8610</v>
      </c>
      <c r="S63" s="143">
        <f t="shared" ref="S63:S65" si="118">R63^2/1000000</f>
        <v>74.132099999999994</v>
      </c>
      <c r="T63" s="34"/>
      <c r="U63" s="144">
        <f>100*S63/$S$93</f>
        <v>9.6393196698027511E-2</v>
      </c>
      <c r="V63" s="14"/>
      <c r="W63" s="149" t="s">
        <v>101</v>
      </c>
      <c r="X63" s="9"/>
    </row>
    <row r="64" spans="1:24" x14ac:dyDescent="0.2">
      <c r="A64" s="51"/>
      <c r="B64" s="21" t="s">
        <v>86</v>
      </c>
      <c r="C64" s="64" t="s">
        <v>28</v>
      </c>
      <c r="D64" s="59">
        <f>SUM(D59)</f>
        <v>300</v>
      </c>
      <c r="E64" s="41" t="s">
        <v>13</v>
      </c>
      <c r="F64" s="25">
        <v>0.05</v>
      </c>
      <c r="G64" s="25">
        <v>0.15</v>
      </c>
      <c r="H64" s="10"/>
      <c r="I64" s="42">
        <f t="shared" ref="I64" si="119">SUM(J64)-(J64*F64)</f>
        <v>166.25</v>
      </c>
      <c r="J64" s="43">
        <v>175</v>
      </c>
      <c r="K64" s="44">
        <f t="shared" ref="K64" si="120">SUM(J64)+(J64*G64)</f>
        <v>201.25</v>
      </c>
      <c r="L64" s="32"/>
      <c r="M64" s="36">
        <f t="shared" si="113"/>
        <v>49875</v>
      </c>
      <c r="N64" s="36">
        <f t="shared" si="114"/>
        <v>52500</v>
      </c>
      <c r="O64" s="36">
        <f t="shared" si="115"/>
        <v>60375</v>
      </c>
      <c r="P64" s="32"/>
      <c r="Q64" s="36">
        <f t="shared" si="116"/>
        <v>53550</v>
      </c>
      <c r="R64" s="36">
        <f t="shared" si="117"/>
        <v>2100</v>
      </c>
      <c r="S64" s="34">
        <f t="shared" si="118"/>
        <v>4.41</v>
      </c>
      <c r="T64" s="34"/>
      <c r="U64" s="29">
        <f>100*S64/$S$93</f>
        <v>5.7342770195138327E-3</v>
      </c>
      <c r="V64" s="14"/>
      <c r="W64" s="128"/>
      <c r="X64" s="9"/>
    </row>
    <row r="65" spans="1:24" x14ac:dyDescent="0.2">
      <c r="A65" s="51"/>
      <c r="B65" s="54" t="s">
        <v>17</v>
      </c>
      <c r="C65" s="136" t="s">
        <v>28</v>
      </c>
      <c r="D65" s="133">
        <v>490</v>
      </c>
      <c r="E65" s="137" t="s">
        <v>13</v>
      </c>
      <c r="F65" s="138">
        <v>0.05</v>
      </c>
      <c r="G65" s="138">
        <v>0.05</v>
      </c>
      <c r="H65" s="10"/>
      <c r="I65" s="139">
        <f t="shared" ref="I65" si="121">SUM(J65)-(J65*F65)</f>
        <v>166.25</v>
      </c>
      <c r="J65" s="140">
        <v>175</v>
      </c>
      <c r="K65" s="141">
        <f t="shared" ref="K65" si="122">SUM(J65)+(J65*G65)</f>
        <v>183.75</v>
      </c>
      <c r="L65" s="32"/>
      <c r="M65" s="142">
        <f t="shared" si="113"/>
        <v>81462.5</v>
      </c>
      <c r="N65" s="142">
        <f t="shared" si="114"/>
        <v>85750</v>
      </c>
      <c r="O65" s="142">
        <f t="shared" si="115"/>
        <v>90037.5</v>
      </c>
      <c r="P65" s="32"/>
      <c r="Q65" s="142">
        <f t="shared" si="116"/>
        <v>85750</v>
      </c>
      <c r="R65" s="142">
        <f t="shared" si="117"/>
        <v>1715</v>
      </c>
      <c r="S65" s="143">
        <f t="shared" si="118"/>
        <v>2.9412250000000002</v>
      </c>
      <c r="T65" s="34"/>
      <c r="U65" s="144">
        <f>100*S65/$S$93</f>
        <v>3.824444201070198E-3</v>
      </c>
      <c r="V65" s="14"/>
      <c r="W65" s="128"/>
      <c r="X65" s="9"/>
    </row>
    <row r="66" spans="1:24" x14ac:dyDescent="0.2">
      <c r="A66" s="51"/>
      <c r="B66" s="54" t="s">
        <v>18</v>
      </c>
      <c r="C66" s="64" t="s">
        <v>28</v>
      </c>
      <c r="D66" s="59">
        <v>475</v>
      </c>
      <c r="E66" s="41" t="s">
        <v>13</v>
      </c>
      <c r="F66" s="25">
        <v>0.05</v>
      </c>
      <c r="G66" s="25">
        <v>0.1</v>
      </c>
      <c r="H66" s="10"/>
      <c r="I66" s="42">
        <f>SUM(J66)-(J66*F66)</f>
        <v>237.5</v>
      </c>
      <c r="J66" s="43">
        <v>250</v>
      </c>
      <c r="K66" s="44">
        <f>SUM(J66)+(J66*G66)</f>
        <v>275</v>
      </c>
      <c r="L66" s="32"/>
      <c r="M66" s="36">
        <f t="shared" si="113"/>
        <v>112812.5</v>
      </c>
      <c r="N66" s="36">
        <f t="shared" si="114"/>
        <v>118750</v>
      </c>
      <c r="O66" s="36">
        <f t="shared" si="115"/>
        <v>130625</v>
      </c>
      <c r="P66" s="32"/>
      <c r="Q66" s="36">
        <f>(M66+3*N66+O66)/5</f>
        <v>119937.5</v>
      </c>
      <c r="R66" s="36">
        <f>(O66-M66)/5</f>
        <v>3562.5</v>
      </c>
      <c r="S66" s="34">
        <f>R66^2/1000000</f>
        <v>12.69140625</v>
      </c>
      <c r="T66" s="34"/>
      <c r="U66" s="29">
        <f>100*S66/$S$93</f>
        <v>1.6502503221017966E-2</v>
      </c>
      <c r="V66" s="14"/>
      <c r="W66" s="115"/>
      <c r="X66" s="9"/>
    </row>
    <row r="67" spans="1:24" x14ac:dyDescent="0.2">
      <c r="A67" s="51"/>
      <c r="B67" s="21"/>
      <c r="C67" s="65"/>
      <c r="D67" s="58"/>
      <c r="E67" s="35"/>
      <c r="F67" s="45"/>
      <c r="G67" s="45"/>
      <c r="H67" s="10"/>
      <c r="I67" s="32"/>
      <c r="J67" s="32"/>
      <c r="K67" s="32"/>
      <c r="L67" s="32"/>
      <c r="M67" s="36"/>
      <c r="N67" s="36"/>
      <c r="O67" s="36"/>
      <c r="P67" s="32"/>
      <c r="Q67" s="36"/>
      <c r="R67" s="36"/>
      <c r="S67" s="34"/>
      <c r="T67" s="34"/>
      <c r="U67" s="29"/>
      <c r="V67" s="14"/>
      <c r="W67" s="115"/>
      <c r="X67" s="9"/>
    </row>
    <row r="68" spans="1:24" x14ac:dyDescent="0.2">
      <c r="A68" s="26" t="s">
        <v>37</v>
      </c>
      <c r="B68" s="26"/>
      <c r="C68" s="62"/>
      <c r="D68" s="75"/>
      <c r="E68" s="76"/>
      <c r="F68" s="77"/>
      <c r="G68" s="77"/>
      <c r="H68" s="10"/>
      <c r="I68" s="78"/>
      <c r="J68" s="79"/>
      <c r="K68" s="78"/>
      <c r="L68" s="32"/>
      <c r="M68" s="80">
        <f>SUM(M69:M73)</f>
        <v>1082287.5</v>
      </c>
      <c r="N68" s="80">
        <f>SUM(N69:N73)</f>
        <v>1139250</v>
      </c>
      <c r="O68" s="80">
        <f>SUM(O69:O73)</f>
        <v>1240762.5</v>
      </c>
      <c r="P68" s="32"/>
      <c r="Q68" s="80">
        <f>SUM(Q69:Q73)</f>
        <v>1148160</v>
      </c>
      <c r="R68" s="80">
        <f>SUM(R69:R73)</f>
        <v>31695</v>
      </c>
      <c r="S68" s="80">
        <f>SUM(S69:S73)</f>
        <v>471.236625</v>
      </c>
      <c r="T68" s="34"/>
      <c r="U68" s="81">
        <f>SUM(U69:U73)</f>
        <v>0.6127440701793101</v>
      </c>
      <c r="V68" s="14"/>
      <c r="W68" s="82"/>
      <c r="X68" s="9"/>
    </row>
    <row r="69" spans="1:24" x14ac:dyDescent="0.2">
      <c r="A69" s="51"/>
      <c r="B69" s="21" t="s">
        <v>19</v>
      </c>
      <c r="C69" s="136" t="s">
        <v>27</v>
      </c>
      <c r="D69" s="133">
        <v>425</v>
      </c>
      <c r="E69" s="137" t="s">
        <v>14</v>
      </c>
      <c r="F69" s="138">
        <v>0.05</v>
      </c>
      <c r="G69" s="138">
        <v>0.25</v>
      </c>
      <c r="H69" s="10"/>
      <c r="I69" s="139">
        <f t="shared" ref="I69:I73" si="123">SUM(J69)-(J69*F69)</f>
        <v>427.5</v>
      </c>
      <c r="J69" s="140">
        <v>450</v>
      </c>
      <c r="K69" s="141">
        <f t="shared" ref="K69:K73" si="124">SUM(J69)+(J69*G69)</f>
        <v>562.5</v>
      </c>
      <c r="L69" s="32"/>
      <c r="M69" s="142">
        <f t="shared" ref="M69:M73" si="125">$D69*I69</f>
        <v>181687.5</v>
      </c>
      <c r="N69" s="142">
        <f t="shared" ref="N69:N70" si="126">$D69*J69</f>
        <v>191250</v>
      </c>
      <c r="O69" s="142">
        <f t="shared" ref="O69:O73" si="127">$D69*K69</f>
        <v>239062.5</v>
      </c>
      <c r="P69" s="32"/>
      <c r="Q69" s="142">
        <f t="shared" ref="Q69:Q73" si="128">(M69+3*N69+O69)/5</f>
        <v>198900</v>
      </c>
      <c r="R69" s="142">
        <f t="shared" ref="R69:R73" si="129">(O69-M69)/5</f>
        <v>11475</v>
      </c>
      <c r="S69" s="143">
        <f t="shared" ref="S69:S73" si="130">R69^2/1000000</f>
        <v>131.675625</v>
      </c>
      <c r="T69" s="34"/>
      <c r="U69" s="144">
        <f>100*S69/$S$93</f>
        <v>0.17121644228290728</v>
      </c>
      <c r="V69" s="14"/>
      <c r="W69" s="147" t="s">
        <v>102</v>
      </c>
      <c r="X69" s="9"/>
    </row>
    <row r="70" spans="1:24" x14ac:dyDescent="0.2">
      <c r="A70" s="135"/>
      <c r="B70" s="134" t="s">
        <v>100</v>
      </c>
      <c r="C70" s="136" t="s">
        <v>27</v>
      </c>
      <c r="D70" s="133">
        <v>70</v>
      </c>
      <c r="E70" s="137" t="s">
        <v>14</v>
      </c>
      <c r="F70" s="138">
        <v>0.05</v>
      </c>
      <c r="G70" s="138">
        <v>0.25</v>
      </c>
      <c r="H70" s="10"/>
      <c r="I70" s="139">
        <f t="shared" si="123"/>
        <v>427.5</v>
      </c>
      <c r="J70" s="140">
        <v>450</v>
      </c>
      <c r="K70" s="141">
        <f t="shared" si="124"/>
        <v>562.5</v>
      </c>
      <c r="L70" s="32"/>
      <c r="M70" s="142">
        <f t="shared" si="125"/>
        <v>29925</v>
      </c>
      <c r="N70" s="142">
        <f t="shared" si="126"/>
        <v>31500</v>
      </c>
      <c r="O70" s="142">
        <f t="shared" si="127"/>
        <v>39375</v>
      </c>
      <c r="P70" s="32"/>
      <c r="Q70" s="142">
        <f t="shared" si="128"/>
        <v>32760</v>
      </c>
      <c r="R70" s="142">
        <f t="shared" si="129"/>
        <v>1890</v>
      </c>
      <c r="S70" s="143">
        <f t="shared" si="130"/>
        <v>3.5720999999999998</v>
      </c>
      <c r="T70" s="34"/>
      <c r="U70" s="144">
        <f>100*S70/$S$93</f>
        <v>4.6447643858062038E-3</v>
      </c>
      <c r="V70" s="14"/>
      <c r="W70" s="148"/>
      <c r="X70" s="9"/>
    </row>
    <row r="71" spans="1:24" x14ac:dyDescent="0.2">
      <c r="A71" s="51"/>
      <c r="B71" s="21" t="s">
        <v>21</v>
      </c>
      <c r="C71" s="64" t="s">
        <v>27</v>
      </c>
      <c r="D71" s="59">
        <v>0</v>
      </c>
      <c r="E71" s="41" t="s">
        <v>11</v>
      </c>
      <c r="F71" s="25">
        <v>0</v>
      </c>
      <c r="G71" s="25">
        <v>0</v>
      </c>
      <c r="H71" s="10"/>
      <c r="I71" s="42">
        <f t="shared" si="123"/>
        <v>0</v>
      </c>
      <c r="J71" s="43">
        <v>0</v>
      </c>
      <c r="K71" s="44">
        <f t="shared" si="124"/>
        <v>0</v>
      </c>
      <c r="L71" s="32"/>
      <c r="M71" s="36">
        <f t="shared" si="125"/>
        <v>0</v>
      </c>
      <c r="N71" s="36">
        <f>$D71*J71</f>
        <v>0</v>
      </c>
      <c r="O71" s="36">
        <f t="shared" si="127"/>
        <v>0</v>
      </c>
      <c r="P71" s="32"/>
      <c r="Q71" s="36">
        <f t="shared" si="128"/>
        <v>0</v>
      </c>
      <c r="R71" s="36">
        <f t="shared" si="129"/>
        <v>0</v>
      </c>
      <c r="S71" s="34">
        <f t="shared" si="130"/>
        <v>0</v>
      </c>
      <c r="T71" s="34"/>
      <c r="U71" s="29">
        <f>100*S71/$S$93</f>
        <v>0</v>
      </c>
      <c r="V71" s="14"/>
      <c r="W71" s="115"/>
      <c r="X71" s="9"/>
    </row>
    <row r="72" spans="1:24" x14ac:dyDescent="0.2">
      <c r="A72" s="51"/>
      <c r="B72" s="21" t="s">
        <v>23</v>
      </c>
      <c r="C72" s="64" t="s">
        <v>27</v>
      </c>
      <c r="D72" s="59">
        <v>0</v>
      </c>
      <c r="E72" s="41" t="s">
        <v>13</v>
      </c>
      <c r="F72" s="25">
        <v>0</v>
      </c>
      <c r="G72" s="25">
        <v>0</v>
      </c>
      <c r="H72" s="10"/>
      <c r="I72" s="42">
        <f t="shared" ref="I72" si="131">SUM(J72)-(J72*F72)</f>
        <v>0</v>
      </c>
      <c r="J72" s="43">
        <v>0</v>
      </c>
      <c r="K72" s="44">
        <f t="shared" ref="K72" si="132">SUM(J72)+(J72*G72)</f>
        <v>0</v>
      </c>
      <c r="L72" s="32"/>
      <c r="M72" s="36">
        <f t="shared" ref="M72" si="133">$D72*I72</f>
        <v>0</v>
      </c>
      <c r="N72" s="36">
        <f>$D72*J72</f>
        <v>0</v>
      </c>
      <c r="O72" s="36">
        <f t="shared" ref="O72" si="134">$D72*K72</f>
        <v>0</v>
      </c>
      <c r="P72" s="32"/>
      <c r="Q72" s="36">
        <f t="shared" ref="Q72" si="135">(M72+3*N72+O72)/5</f>
        <v>0</v>
      </c>
      <c r="R72" s="36">
        <f t="shared" ref="R72" si="136">(O72-M72)/5</f>
        <v>0</v>
      </c>
      <c r="S72" s="34">
        <f t="shared" ref="S72" si="137">R72^2/1000000</f>
        <v>0</v>
      </c>
      <c r="T72" s="34"/>
      <c r="U72" s="29">
        <f>100*S72/$S$93</f>
        <v>0</v>
      </c>
      <c r="V72" s="14"/>
      <c r="W72" s="151"/>
      <c r="X72" s="9"/>
    </row>
    <row r="73" spans="1:24" x14ac:dyDescent="0.2">
      <c r="A73" s="51"/>
      <c r="B73" s="21" t="s">
        <v>85</v>
      </c>
      <c r="C73" s="64" t="s">
        <v>27</v>
      </c>
      <c r="D73" s="59">
        <v>6110</v>
      </c>
      <c r="E73" s="41" t="s">
        <v>13</v>
      </c>
      <c r="F73" s="25">
        <v>0.05</v>
      </c>
      <c r="G73" s="25">
        <v>0.05</v>
      </c>
      <c r="H73" s="10"/>
      <c r="I73" s="42">
        <f t="shared" si="123"/>
        <v>142.5</v>
      </c>
      <c r="J73" s="43">
        <v>150</v>
      </c>
      <c r="K73" s="44">
        <f t="shared" si="124"/>
        <v>157.5</v>
      </c>
      <c r="L73" s="32"/>
      <c r="M73" s="36">
        <f t="shared" si="125"/>
        <v>870675</v>
      </c>
      <c r="N73" s="36">
        <f>$D73*J73</f>
        <v>916500</v>
      </c>
      <c r="O73" s="36">
        <f t="shared" si="127"/>
        <v>962325</v>
      </c>
      <c r="P73" s="32"/>
      <c r="Q73" s="36">
        <f t="shared" si="128"/>
        <v>916500</v>
      </c>
      <c r="R73" s="36">
        <f t="shared" si="129"/>
        <v>18330</v>
      </c>
      <c r="S73" s="34">
        <f t="shared" si="130"/>
        <v>335.9889</v>
      </c>
      <c r="T73" s="34"/>
      <c r="U73" s="29">
        <f>100*S73/$S$93</f>
        <v>0.43688286351059663</v>
      </c>
      <c r="V73" s="14"/>
      <c r="W73" s="151"/>
      <c r="X73" s="9"/>
    </row>
    <row r="74" spans="1:24" x14ac:dyDescent="0.2">
      <c r="A74" s="51"/>
      <c r="B74" s="21"/>
      <c r="C74" s="65"/>
      <c r="D74" s="58"/>
      <c r="E74" s="35"/>
      <c r="F74" s="45"/>
      <c r="G74" s="45"/>
      <c r="H74" s="10"/>
      <c r="I74" s="32"/>
      <c r="J74" s="32"/>
      <c r="K74" s="32"/>
      <c r="L74" s="32"/>
      <c r="M74" s="36"/>
      <c r="N74" s="36"/>
      <c r="O74" s="36"/>
      <c r="P74" s="32"/>
      <c r="Q74" s="36"/>
      <c r="R74" s="36"/>
      <c r="S74" s="34"/>
      <c r="T74" s="34"/>
      <c r="U74" s="29"/>
      <c r="V74" s="14"/>
      <c r="W74" s="115"/>
      <c r="X74" s="9"/>
    </row>
    <row r="75" spans="1:24" x14ac:dyDescent="0.2">
      <c r="A75" s="23" t="s">
        <v>38</v>
      </c>
      <c r="B75" s="23"/>
      <c r="C75" s="63"/>
      <c r="D75" s="57"/>
      <c r="E75" s="37"/>
      <c r="F75" s="38"/>
      <c r="G75" s="38"/>
      <c r="H75" s="10"/>
      <c r="I75" s="39"/>
      <c r="J75" s="40"/>
      <c r="K75" s="39"/>
      <c r="L75" s="32"/>
      <c r="M75" s="33">
        <f>SUM(M76:M81)</f>
        <v>946437.5</v>
      </c>
      <c r="N75" s="33">
        <f>SUM(N76:N81)</f>
        <v>996250</v>
      </c>
      <c r="O75" s="33">
        <f>SUM(O76:O81)</f>
        <v>1159375</v>
      </c>
      <c r="P75" s="32"/>
      <c r="Q75" s="33">
        <f>SUM(Q76:Q81)</f>
        <v>1018912.5</v>
      </c>
      <c r="R75" s="33">
        <f>SUM(R76:R81)</f>
        <v>42587.5</v>
      </c>
      <c r="S75" s="33">
        <f>SUM(S76:S81)</f>
        <v>926.0189062500001</v>
      </c>
      <c r="T75" s="34"/>
      <c r="U75" s="28">
        <f>SUM(U76:U81)</f>
        <v>1.2040927287402969</v>
      </c>
      <c r="V75" s="14"/>
      <c r="W75" s="55"/>
      <c r="X75" s="9"/>
    </row>
    <row r="76" spans="1:24" x14ac:dyDescent="0.2">
      <c r="A76" s="51"/>
      <c r="B76" s="21" t="s">
        <v>20</v>
      </c>
      <c r="C76" s="136" t="s">
        <v>27</v>
      </c>
      <c r="D76" s="133">
        <v>425</v>
      </c>
      <c r="E76" s="137" t="s">
        <v>14</v>
      </c>
      <c r="F76" s="138">
        <v>0.05</v>
      </c>
      <c r="G76" s="138">
        <v>0.15</v>
      </c>
      <c r="H76" s="10"/>
      <c r="I76" s="139">
        <f t="shared" ref="I76:I78" si="138">SUM(J76)-(J76*F76)</f>
        <v>1615</v>
      </c>
      <c r="J76" s="140">
        <v>1700</v>
      </c>
      <c r="K76" s="141">
        <f t="shared" ref="K76:K78" si="139">SUM(J76)+(J76*G76)</f>
        <v>1955</v>
      </c>
      <c r="L76" s="32"/>
      <c r="M76" s="142">
        <f t="shared" ref="M76:M78" si="140">$D76*I76</f>
        <v>686375</v>
      </c>
      <c r="N76" s="142">
        <f t="shared" ref="N76" si="141">$D76*J76</f>
        <v>722500</v>
      </c>
      <c r="O76" s="142">
        <f t="shared" ref="O76:O78" si="142">$D76*K76</f>
        <v>830875</v>
      </c>
      <c r="P76" s="32"/>
      <c r="Q76" s="142">
        <f t="shared" ref="Q76:Q81" si="143">(M76+3*N76+O76)/5</f>
        <v>736950</v>
      </c>
      <c r="R76" s="142">
        <f t="shared" ref="R76:R81" si="144">(O76-M76)/5</f>
        <v>28900</v>
      </c>
      <c r="S76" s="143">
        <f t="shared" ref="S76:S81" si="145">R76^2/1000000</f>
        <v>835.21</v>
      </c>
      <c r="T76" s="34"/>
      <c r="U76" s="144">
        <f>100*S76/$S$93</f>
        <v>1.0860148547546822</v>
      </c>
      <c r="V76" s="14"/>
      <c r="W76" s="147" t="s">
        <v>102</v>
      </c>
      <c r="X76" s="9"/>
    </row>
    <row r="77" spans="1:24" x14ac:dyDescent="0.2">
      <c r="A77" s="135"/>
      <c r="B77" s="134" t="s">
        <v>100</v>
      </c>
      <c r="C77" s="136" t="s">
        <v>27</v>
      </c>
      <c r="D77" s="133">
        <v>70</v>
      </c>
      <c r="E77" s="137" t="s">
        <v>14</v>
      </c>
      <c r="F77" s="138">
        <v>0.05</v>
      </c>
      <c r="G77" s="138">
        <v>0.2</v>
      </c>
      <c r="H77" s="10"/>
      <c r="I77" s="139">
        <f t="shared" ref="I77" si="146">SUM(J77)-(J77*F77)</f>
        <v>1615</v>
      </c>
      <c r="J77" s="140">
        <v>1700</v>
      </c>
      <c r="K77" s="141">
        <f t="shared" ref="K77" si="147">SUM(J77)+(J77*G77)</f>
        <v>2040</v>
      </c>
      <c r="L77" s="32"/>
      <c r="M77" s="142">
        <f t="shared" ref="M77" si="148">$D77*I77</f>
        <v>113050</v>
      </c>
      <c r="N77" s="142">
        <f t="shared" ref="N77" si="149">$D77*J77</f>
        <v>119000</v>
      </c>
      <c r="O77" s="142">
        <f t="shared" ref="O77" si="150">$D77*K77</f>
        <v>142800</v>
      </c>
      <c r="P77" s="32"/>
      <c r="Q77" s="142">
        <f t="shared" ref="Q77" si="151">(M77+3*N77+O77)/5</f>
        <v>122570</v>
      </c>
      <c r="R77" s="142">
        <f t="shared" ref="R77" si="152">(O77-M77)/5</f>
        <v>5950</v>
      </c>
      <c r="S77" s="143">
        <f t="shared" ref="S77" si="153">R77^2/1000000</f>
        <v>35.402500000000003</v>
      </c>
      <c r="T77" s="34"/>
      <c r="U77" s="144">
        <f>100*S77/$S$93</f>
        <v>4.6033501628874943E-2</v>
      </c>
      <c r="V77" s="14"/>
      <c r="W77" s="148"/>
      <c r="X77" s="9"/>
    </row>
    <row r="78" spans="1:24" x14ac:dyDescent="0.2">
      <c r="A78" s="51"/>
      <c r="B78" s="21" t="s">
        <v>22</v>
      </c>
      <c r="C78" s="64" t="s">
        <v>27</v>
      </c>
      <c r="D78" s="59">
        <v>0</v>
      </c>
      <c r="E78" s="41" t="s">
        <v>11</v>
      </c>
      <c r="F78" s="25">
        <v>0</v>
      </c>
      <c r="G78" s="25">
        <v>0</v>
      </c>
      <c r="H78" s="10"/>
      <c r="I78" s="42">
        <f t="shared" si="138"/>
        <v>0</v>
      </c>
      <c r="J78" s="43">
        <v>0</v>
      </c>
      <c r="K78" s="44">
        <f t="shared" si="139"/>
        <v>0</v>
      </c>
      <c r="L78" s="32"/>
      <c r="M78" s="36">
        <f t="shared" si="140"/>
        <v>0</v>
      </c>
      <c r="N78" s="36">
        <f>$D78*J78</f>
        <v>0</v>
      </c>
      <c r="O78" s="36">
        <f t="shared" si="142"/>
        <v>0</v>
      </c>
      <c r="P78" s="32"/>
      <c r="Q78" s="36">
        <f t="shared" si="143"/>
        <v>0</v>
      </c>
      <c r="R78" s="36">
        <f t="shared" si="144"/>
        <v>0</v>
      </c>
      <c r="S78" s="34">
        <f t="shared" si="145"/>
        <v>0</v>
      </c>
      <c r="T78" s="34"/>
      <c r="U78" s="29">
        <f>100*S78/$S$93</f>
        <v>0</v>
      </c>
      <c r="V78" s="14"/>
      <c r="W78" s="146"/>
      <c r="X78" s="9"/>
    </row>
    <row r="79" spans="1:24" x14ac:dyDescent="0.2">
      <c r="A79" s="51"/>
      <c r="B79" s="21" t="s">
        <v>24</v>
      </c>
      <c r="C79" s="64" t="s">
        <v>27</v>
      </c>
      <c r="D79" s="59">
        <v>0</v>
      </c>
      <c r="E79" s="41" t="s">
        <v>13</v>
      </c>
      <c r="F79" s="25">
        <v>0</v>
      </c>
      <c r="G79" s="25">
        <v>0</v>
      </c>
      <c r="H79" s="10"/>
      <c r="I79" s="42">
        <f t="shared" ref="I79:I80" si="154">SUM(J79)-(J79*F79)</f>
        <v>0</v>
      </c>
      <c r="J79" s="43">
        <v>0</v>
      </c>
      <c r="K79" s="44">
        <f t="shared" ref="K79:K80" si="155">SUM(J79)+(J79*G79)</f>
        <v>0</v>
      </c>
      <c r="L79" s="32"/>
      <c r="M79" s="36">
        <f t="shared" ref="M79:M81" si="156">$D79*I79</f>
        <v>0</v>
      </c>
      <c r="N79" s="36">
        <f t="shared" ref="N79:N81" si="157">$D79*J79</f>
        <v>0</v>
      </c>
      <c r="O79" s="36">
        <f t="shared" ref="O79:O81" si="158">$D79*K79</f>
        <v>0</v>
      </c>
      <c r="P79" s="32"/>
      <c r="Q79" s="36">
        <f t="shared" si="143"/>
        <v>0</v>
      </c>
      <c r="R79" s="36">
        <f t="shared" si="144"/>
        <v>0</v>
      </c>
      <c r="S79" s="34">
        <f t="shared" si="145"/>
        <v>0</v>
      </c>
      <c r="T79" s="34"/>
      <c r="U79" s="29">
        <f>100*S79/$S$93</f>
        <v>0</v>
      </c>
      <c r="V79" s="14"/>
      <c r="W79" s="145"/>
      <c r="X79" s="9"/>
    </row>
    <row r="80" spans="1:24" x14ac:dyDescent="0.2">
      <c r="A80" s="51"/>
      <c r="B80" s="21" t="s">
        <v>25</v>
      </c>
      <c r="C80" s="64" t="s">
        <v>28</v>
      </c>
      <c r="D80" s="59">
        <v>595</v>
      </c>
      <c r="E80" s="41" t="s">
        <v>14</v>
      </c>
      <c r="F80" s="25">
        <v>0.05</v>
      </c>
      <c r="G80" s="25">
        <v>0.2</v>
      </c>
      <c r="H80" s="10"/>
      <c r="I80" s="42">
        <f t="shared" si="154"/>
        <v>237.5</v>
      </c>
      <c r="J80" s="43">
        <v>250</v>
      </c>
      <c r="K80" s="44">
        <f t="shared" si="155"/>
        <v>300</v>
      </c>
      <c r="L80" s="32"/>
      <c r="M80" s="36">
        <f t="shared" si="156"/>
        <v>141312.5</v>
      </c>
      <c r="N80" s="36">
        <f t="shared" si="157"/>
        <v>148750</v>
      </c>
      <c r="O80" s="36">
        <f t="shared" si="158"/>
        <v>178500</v>
      </c>
      <c r="P80" s="32"/>
      <c r="Q80" s="36">
        <f t="shared" si="143"/>
        <v>153212.5</v>
      </c>
      <c r="R80" s="36">
        <f t="shared" si="144"/>
        <v>7437.5</v>
      </c>
      <c r="S80" s="34">
        <f t="shared" si="145"/>
        <v>55.31640625</v>
      </c>
      <c r="T80" s="34"/>
      <c r="U80" s="29">
        <f>100*S80/$S$93</f>
        <v>7.1927346295117087E-2</v>
      </c>
      <c r="V80" s="14"/>
      <c r="W80" s="127" t="s">
        <v>94</v>
      </c>
      <c r="X80" s="9"/>
    </row>
    <row r="81" spans="1:24" x14ac:dyDescent="0.2">
      <c r="A81" s="51"/>
      <c r="B81" s="21" t="s">
        <v>26</v>
      </c>
      <c r="C81" s="64" t="s">
        <v>28</v>
      </c>
      <c r="D81" s="59">
        <v>30</v>
      </c>
      <c r="E81" s="41" t="s">
        <v>11</v>
      </c>
      <c r="F81" s="25">
        <v>0.05</v>
      </c>
      <c r="G81" s="25">
        <v>0.2</v>
      </c>
      <c r="H81" s="10"/>
      <c r="I81" s="42">
        <f t="shared" ref="I81" si="159">SUM(J81)-(J81*F81)</f>
        <v>190</v>
      </c>
      <c r="J81" s="43">
        <v>200</v>
      </c>
      <c r="K81" s="44">
        <f t="shared" ref="K81" si="160">SUM(J81)+(J81*G81)</f>
        <v>240</v>
      </c>
      <c r="L81" s="32"/>
      <c r="M81" s="36">
        <f t="shared" si="156"/>
        <v>5700</v>
      </c>
      <c r="N81" s="36">
        <f t="shared" si="157"/>
        <v>6000</v>
      </c>
      <c r="O81" s="36">
        <f t="shared" si="158"/>
        <v>7200</v>
      </c>
      <c r="P81" s="32"/>
      <c r="Q81" s="36">
        <f t="shared" si="143"/>
        <v>6180</v>
      </c>
      <c r="R81" s="36">
        <f t="shared" si="144"/>
        <v>300</v>
      </c>
      <c r="S81" s="34">
        <f t="shared" si="145"/>
        <v>0.09</v>
      </c>
      <c r="T81" s="34"/>
      <c r="U81" s="29">
        <f>100*S81/$S$93</f>
        <v>1.1702606162273128E-4</v>
      </c>
      <c r="V81" s="14"/>
      <c r="W81" s="128"/>
      <c r="X81" s="9"/>
    </row>
    <row r="82" spans="1:24" x14ac:dyDescent="0.2">
      <c r="A82" s="51"/>
      <c r="B82" s="21"/>
      <c r="C82" s="65"/>
      <c r="D82" s="58"/>
      <c r="E82" s="35"/>
      <c r="F82" s="45"/>
      <c r="G82" s="45"/>
      <c r="H82" s="10"/>
      <c r="I82" s="32"/>
      <c r="J82" s="32"/>
      <c r="K82" s="32"/>
      <c r="L82" s="32"/>
      <c r="M82" s="36"/>
      <c r="N82" s="36"/>
      <c r="O82" s="36"/>
      <c r="P82" s="32"/>
      <c r="Q82" s="36"/>
      <c r="R82" s="36"/>
      <c r="S82" s="34"/>
      <c r="T82" s="34"/>
      <c r="U82" s="29"/>
      <c r="V82" s="14"/>
      <c r="W82" s="128"/>
      <c r="X82" s="9"/>
    </row>
    <row r="83" spans="1:24" x14ac:dyDescent="0.2">
      <c r="A83" s="68" t="s">
        <v>52</v>
      </c>
      <c r="B83" s="68"/>
      <c r="C83" s="69"/>
      <c r="D83" s="70"/>
      <c r="E83" s="71"/>
      <c r="F83" s="71"/>
      <c r="G83" s="71"/>
      <c r="H83" s="10"/>
      <c r="I83" s="72"/>
      <c r="J83" s="72"/>
      <c r="K83" s="72"/>
      <c r="L83" s="17"/>
      <c r="M83" s="73">
        <f>M85+M89</f>
        <v>5949660</v>
      </c>
      <c r="N83" s="73">
        <f>N85+N89</f>
        <v>6262800</v>
      </c>
      <c r="O83" s="73">
        <f>O85+O89</f>
        <v>7236210</v>
      </c>
      <c r="P83" s="17"/>
      <c r="Q83" s="73">
        <f>Q85+Q89</f>
        <v>6394854</v>
      </c>
      <c r="R83" s="73">
        <f>R85+R89</f>
        <v>257310</v>
      </c>
      <c r="S83" s="73">
        <f>S85+S89</f>
        <v>54242.589332000003</v>
      </c>
      <c r="T83" s="123"/>
      <c r="U83" s="73">
        <f>SUM(U85+U89)</f>
        <v>70.53107335270154</v>
      </c>
      <c r="V83" s="123"/>
      <c r="W83" s="74"/>
      <c r="X83" s="9"/>
    </row>
    <row r="84" spans="1:24" x14ac:dyDescent="0.2">
      <c r="A84" s="22"/>
      <c r="B84" s="22"/>
      <c r="C84" s="61"/>
      <c r="D84" s="18"/>
      <c r="E84" s="19"/>
      <c r="F84" s="19"/>
      <c r="G84" s="19"/>
      <c r="H84" s="10"/>
      <c r="I84" s="12"/>
      <c r="J84" s="12"/>
      <c r="K84" s="12"/>
      <c r="L84" s="12"/>
      <c r="M84" s="13"/>
      <c r="N84" s="13"/>
      <c r="O84" s="13"/>
      <c r="P84" s="12"/>
      <c r="Q84" s="13"/>
      <c r="R84" s="13"/>
      <c r="S84" s="14"/>
      <c r="T84" s="14"/>
      <c r="U84" s="20"/>
      <c r="V84" s="14"/>
      <c r="W84" s="27"/>
      <c r="X84" s="9"/>
    </row>
    <row r="85" spans="1:24" x14ac:dyDescent="0.2">
      <c r="A85" s="23" t="s">
        <v>39</v>
      </c>
      <c r="B85" s="23"/>
      <c r="C85" s="63"/>
      <c r="D85" s="57"/>
      <c r="E85" s="37"/>
      <c r="F85" s="38"/>
      <c r="G85" s="38"/>
      <c r="H85" s="10"/>
      <c r="I85" s="39"/>
      <c r="J85" s="40"/>
      <c r="K85" s="33"/>
      <c r="L85" s="32"/>
      <c r="M85" s="33">
        <f>SUM(M86:M88)</f>
        <v>5579255</v>
      </c>
      <c r="N85" s="33">
        <f>SUM(N86:N88)</f>
        <v>5872900</v>
      </c>
      <c r="O85" s="33">
        <f>SUM(O86:O88)</f>
        <v>6753835</v>
      </c>
      <c r="P85" s="32"/>
      <c r="Q85" s="33">
        <f>SUM(Q86:Q88)</f>
        <v>5990358</v>
      </c>
      <c r="R85" s="33">
        <f>SUM(R86:R88)</f>
        <v>234916</v>
      </c>
      <c r="S85" s="33">
        <f>SUM(S86:S88)</f>
        <v>53915.038096000004</v>
      </c>
      <c r="T85" s="34"/>
      <c r="U85" s="28">
        <f>SUM(U86:U88)</f>
        <v>70.105161895715568</v>
      </c>
      <c r="V85" s="14"/>
      <c r="W85" s="55"/>
      <c r="X85" s="9"/>
    </row>
    <row r="86" spans="1:24" x14ac:dyDescent="0.2">
      <c r="A86" s="51"/>
      <c r="B86" s="21" t="s">
        <v>89</v>
      </c>
      <c r="C86" s="64" t="s">
        <v>28</v>
      </c>
      <c r="D86" s="59">
        <v>6110</v>
      </c>
      <c r="E86" s="41" t="s">
        <v>13</v>
      </c>
      <c r="F86" s="25">
        <v>0.05</v>
      </c>
      <c r="G86" s="25">
        <v>0.15</v>
      </c>
      <c r="H86" s="10"/>
      <c r="I86" s="42">
        <f t="shared" ref="I86" si="161">SUM(J86)-(J86*F86)</f>
        <v>902.5</v>
      </c>
      <c r="J86" s="43">
        <v>950</v>
      </c>
      <c r="K86" s="44">
        <f t="shared" ref="K86" si="162">SUM(J86)+(J86*G86)</f>
        <v>1092.5</v>
      </c>
      <c r="L86" s="32"/>
      <c r="M86" s="36">
        <f>$D86*I86</f>
        <v>5514275</v>
      </c>
      <c r="N86" s="36">
        <f>$D86*J86</f>
        <v>5804500</v>
      </c>
      <c r="O86" s="36">
        <f>$D86*K86</f>
        <v>6675175</v>
      </c>
      <c r="P86" s="32"/>
      <c r="Q86" s="36">
        <f t="shared" ref="Q86" si="163">(M86+3*N86+O86)/5</f>
        <v>5920590</v>
      </c>
      <c r="R86" s="36">
        <f t="shared" ref="R86" si="164">(O86-M86)/5</f>
        <v>232180</v>
      </c>
      <c r="S86" s="34">
        <f t="shared" ref="S86" si="165">R86^2/1000000</f>
        <v>53907.5524</v>
      </c>
      <c r="T86" s="34"/>
      <c r="U86" s="29">
        <f>100*S86/$S$93</f>
        <v>70.095428323255732</v>
      </c>
      <c r="V86" s="14"/>
      <c r="W86" s="29"/>
      <c r="X86" s="9"/>
    </row>
    <row r="87" spans="1:24" x14ac:dyDescent="0.2">
      <c r="A87" s="135"/>
      <c r="B87" s="134" t="s">
        <v>103</v>
      </c>
      <c r="C87" s="136" t="s">
        <v>28</v>
      </c>
      <c r="D87" s="133">
        <v>72</v>
      </c>
      <c r="E87" s="137" t="s">
        <v>13</v>
      </c>
      <c r="F87" s="138">
        <v>0.05</v>
      </c>
      <c r="G87" s="138">
        <v>0.15</v>
      </c>
      <c r="H87" s="10"/>
      <c r="I87" s="139">
        <f t="shared" ref="I87" si="166">SUM(J87)-(J87*F87)</f>
        <v>902.5</v>
      </c>
      <c r="J87" s="140">
        <v>950</v>
      </c>
      <c r="K87" s="141">
        <f t="shared" ref="K87" si="167">SUM(J87)+(J87*G87)</f>
        <v>1092.5</v>
      </c>
      <c r="L87" s="32"/>
      <c r="M87" s="142">
        <f>$D87*I87</f>
        <v>64980</v>
      </c>
      <c r="N87" s="142">
        <f>$D87*J87</f>
        <v>68400</v>
      </c>
      <c r="O87" s="142">
        <f>$D87*K87</f>
        <v>78660</v>
      </c>
      <c r="P87" s="32"/>
      <c r="Q87" s="142">
        <f t="shared" ref="Q87" si="168">(M87+3*N87+O87)/5</f>
        <v>69768</v>
      </c>
      <c r="R87" s="142">
        <f t="shared" ref="R87" si="169">(O87-M87)/5</f>
        <v>2736</v>
      </c>
      <c r="S87" s="143">
        <f t="shared" ref="S87" si="170">R87^2/1000000</f>
        <v>7.4856959999999999</v>
      </c>
      <c r="T87" s="34"/>
      <c r="U87" s="144">
        <f>100*S87/$S$93</f>
        <v>9.7335724598337E-3</v>
      </c>
      <c r="V87" s="14"/>
      <c r="W87" s="29"/>
      <c r="X87" s="9"/>
    </row>
    <row r="88" spans="1:24" x14ac:dyDescent="0.2">
      <c r="A88" s="51"/>
      <c r="B88" s="21"/>
      <c r="C88" s="65"/>
      <c r="D88" s="60"/>
      <c r="E88" s="52"/>
      <c r="F88" s="53"/>
      <c r="G88" s="53"/>
      <c r="H88" s="10"/>
      <c r="I88" s="32"/>
      <c r="J88" s="50"/>
      <c r="K88" s="32"/>
      <c r="L88" s="32"/>
      <c r="M88" s="36"/>
      <c r="N88" s="36"/>
      <c r="O88" s="36"/>
      <c r="P88" s="32"/>
      <c r="Q88" s="36"/>
      <c r="R88" s="36"/>
      <c r="S88" s="34"/>
      <c r="T88" s="34"/>
      <c r="U88" s="29"/>
      <c r="V88" s="14"/>
      <c r="W88" s="29"/>
      <c r="X88" s="9"/>
    </row>
    <row r="89" spans="1:24" x14ac:dyDescent="0.2">
      <c r="A89" s="23" t="s">
        <v>16</v>
      </c>
      <c r="B89" s="23"/>
      <c r="C89" s="63"/>
      <c r="D89" s="57"/>
      <c r="E89" s="37"/>
      <c r="F89" s="38"/>
      <c r="G89" s="38"/>
      <c r="H89" s="10"/>
      <c r="I89" s="39"/>
      <c r="J89" s="40"/>
      <c r="K89" s="39"/>
      <c r="L89" s="32"/>
      <c r="M89" s="33">
        <f>SUM(M90:M92)</f>
        <v>370405</v>
      </c>
      <c r="N89" s="33">
        <f>SUM(N90:N92)</f>
        <v>389900</v>
      </c>
      <c r="O89" s="33">
        <f>SUM(O90:O92)</f>
        <v>482375</v>
      </c>
      <c r="P89" s="32"/>
      <c r="Q89" s="33">
        <f>SUM(Q90:Q92)</f>
        <v>404496</v>
      </c>
      <c r="R89" s="33">
        <f>SUM(R90:R92)</f>
        <v>22394</v>
      </c>
      <c r="S89" s="33">
        <f>SUM(S90:S92)</f>
        <v>327.55123600000002</v>
      </c>
      <c r="T89" s="34"/>
      <c r="U89" s="28">
        <f>SUM(U90:U92)</f>
        <v>0.42591145698597555</v>
      </c>
      <c r="V89" s="14"/>
      <c r="W89" s="55"/>
      <c r="X89" s="9"/>
    </row>
    <row r="90" spans="1:24" x14ac:dyDescent="0.2">
      <c r="A90" s="51"/>
      <c r="B90" s="21" t="s">
        <v>88</v>
      </c>
      <c r="C90" s="64"/>
      <c r="D90" s="59">
        <v>1</v>
      </c>
      <c r="E90" s="41" t="s">
        <v>35</v>
      </c>
      <c r="F90" s="25">
        <v>0.05</v>
      </c>
      <c r="G90" s="25">
        <v>0.25</v>
      </c>
      <c r="H90" s="10"/>
      <c r="I90" s="42">
        <f t="shared" ref="I90" si="171">SUM(J90)-(J90*F90)</f>
        <v>275405</v>
      </c>
      <c r="J90" s="43">
        <v>289900</v>
      </c>
      <c r="K90" s="44">
        <f t="shared" ref="K90" si="172">SUM(J90)+(J90*G90)</f>
        <v>362375</v>
      </c>
      <c r="L90" s="32"/>
      <c r="M90" s="36">
        <f t="shared" ref="M90" si="173">$D90*I90</f>
        <v>275405</v>
      </c>
      <c r="N90" s="36">
        <f t="shared" ref="N90" si="174">$D90*J90</f>
        <v>289900</v>
      </c>
      <c r="O90" s="36">
        <f t="shared" ref="O90" si="175">$D90*K90</f>
        <v>362375</v>
      </c>
      <c r="P90" s="32"/>
      <c r="Q90" s="36">
        <f t="shared" ref="Q90" si="176">(M90+3*N90+O90)/5</f>
        <v>301496</v>
      </c>
      <c r="R90" s="36">
        <f t="shared" ref="R90" si="177">(O90-M90)/5</f>
        <v>17394</v>
      </c>
      <c r="S90" s="34">
        <f t="shared" ref="S90" si="178">R90^2/1000000</f>
        <v>302.55123600000002</v>
      </c>
      <c r="T90" s="34"/>
      <c r="U90" s="29">
        <f>100*S90/$S$93</f>
        <v>0.39340421764632799</v>
      </c>
      <c r="V90" s="14"/>
      <c r="W90" s="29" t="s">
        <v>36</v>
      </c>
      <c r="X90" s="9"/>
    </row>
    <row r="91" spans="1:24" x14ac:dyDescent="0.2">
      <c r="A91" s="51"/>
      <c r="B91" s="21" t="s">
        <v>80</v>
      </c>
      <c r="C91" s="64"/>
      <c r="D91" s="59">
        <v>1</v>
      </c>
      <c r="E91" s="41" t="s">
        <v>35</v>
      </c>
      <c r="F91" s="25">
        <v>0.05</v>
      </c>
      <c r="G91" s="25">
        <v>0.2</v>
      </c>
      <c r="H91" s="10"/>
      <c r="I91" s="42">
        <f t="shared" ref="I91" si="179">SUM(J91)-(J91*F91)</f>
        <v>95000</v>
      </c>
      <c r="J91" s="43">
        <v>100000</v>
      </c>
      <c r="K91" s="44">
        <f t="shared" ref="K91" si="180">SUM(J91)+(J91*G91)</f>
        <v>120000</v>
      </c>
      <c r="L91" s="32"/>
      <c r="M91" s="36">
        <f t="shared" ref="M91" si="181">$D91*I91</f>
        <v>95000</v>
      </c>
      <c r="N91" s="36">
        <f t="shared" ref="N91" si="182">$D91*J91</f>
        <v>100000</v>
      </c>
      <c r="O91" s="36">
        <f t="shared" ref="O91" si="183">$D91*K91</f>
        <v>120000</v>
      </c>
      <c r="P91" s="32"/>
      <c r="Q91" s="36">
        <f t="shared" ref="Q91" si="184">(M91+3*N91+O91)/5</f>
        <v>103000</v>
      </c>
      <c r="R91" s="36">
        <f t="shared" ref="R91" si="185">(O91-M91)/5</f>
        <v>5000</v>
      </c>
      <c r="S91" s="34">
        <f t="shared" ref="S91" si="186">R91^2/1000000</f>
        <v>25</v>
      </c>
      <c r="T91" s="34"/>
      <c r="U91" s="29">
        <f>100*S91/$S$93</f>
        <v>3.2507239339647574E-2</v>
      </c>
      <c r="V91" s="14"/>
      <c r="W91" s="29"/>
      <c r="X91" s="9"/>
    </row>
    <row r="92" spans="1:24" x14ac:dyDescent="0.2">
      <c r="A92" s="51"/>
      <c r="B92" s="21"/>
      <c r="C92" s="65"/>
      <c r="D92" s="58"/>
      <c r="E92" s="35"/>
      <c r="F92" s="45"/>
      <c r="G92" s="45"/>
      <c r="H92" s="10"/>
      <c r="I92" s="32"/>
      <c r="J92" s="32"/>
      <c r="K92" s="32"/>
      <c r="L92" s="32"/>
      <c r="M92" s="36"/>
      <c r="N92" s="36"/>
      <c r="O92" s="36"/>
      <c r="P92" s="32"/>
      <c r="Q92" s="36"/>
      <c r="R92" s="36"/>
      <c r="S92" s="34"/>
      <c r="T92" s="34"/>
      <c r="U92" s="29"/>
      <c r="V92" s="14"/>
      <c r="W92" s="27"/>
      <c r="X92" s="9"/>
    </row>
    <row r="93" spans="1:24" x14ac:dyDescent="0.2">
      <c r="A93" s="5"/>
      <c r="B93" s="31"/>
      <c r="C93" s="66"/>
      <c r="D93" s="34"/>
      <c r="E93" s="86"/>
      <c r="F93" s="86"/>
      <c r="G93" s="86"/>
      <c r="H93" s="86"/>
      <c r="I93" s="86"/>
      <c r="J93" s="86"/>
      <c r="K93" s="86"/>
      <c r="L93" s="86"/>
      <c r="M93" s="83"/>
      <c r="N93" s="84"/>
      <c r="O93" s="85" t="s">
        <v>81</v>
      </c>
      <c r="P93" s="83"/>
      <c r="Q93" s="84" t="s">
        <v>12</v>
      </c>
      <c r="R93" s="87"/>
      <c r="S93" s="89">
        <f>SUM(S3+S29+S83)</f>
        <v>76905.946207215005</v>
      </c>
      <c r="T93" s="124"/>
      <c r="U93" s="90">
        <f>SUM(U3+U29+U83)</f>
        <v>100</v>
      </c>
      <c r="V93" s="6"/>
      <c r="W93" s="29"/>
      <c r="X93" s="9"/>
    </row>
    <row r="94" spans="1:24" x14ac:dyDescent="0.2">
      <c r="D94" s="46"/>
      <c r="E94" s="21"/>
      <c r="F94" s="21"/>
      <c r="G94" s="21"/>
      <c r="I94" s="47"/>
      <c r="J94" s="47"/>
      <c r="K94" s="47"/>
      <c r="L94" s="47"/>
      <c r="N94" s="48"/>
      <c r="O94" s="21"/>
      <c r="P94" s="47"/>
      <c r="Q94" s="91" t="s">
        <v>57</v>
      </c>
      <c r="R94" s="21"/>
      <c r="S94" s="49"/>
      <c r="T94" s="49"/>
      <c r="U94" s="30"/>
      <c r="W94" s="30"/>
      <c r="X94" s="9"/>
    </row>
    <row r="95" spans="1:24" x14ac:dyDescent="0.2">
      <c r="B95" s="56"/>
      <c r="E95" s="9"/>
      <c r="O95" s="56" t="s">
        <v>29</v>
      </c>
      <c r="P95" s="120"/>
      <c r="Q95" s="88" t="s">
        <v>31</v>
      </c>
    </row>
    <row r="96" spans="1:24" x14ac:dyDescent="0.2">
      <c r="E96" s="9"/>
      <c r="O96" s="2"/>
      <c r="P96" s="67" t="s">
        <v>30</v>
      </c>
      <c r="Q96" s="88" t="s">
        <v>34</v>
      </c>
    </row>
    <row r="97" spans="5:17" x14ac:dyDescent="0.2">
      <c r="E97" s="9"/>
      <c r="O97" s="2"/>
      <c r="P97" s="121" t="s">
        <v>62</v>
      </c>
      <c r="Q97" s="88" t="s">
        <v>63</v>
      </c>
    </row>
    <row r="98" spans="5:17" x14ac:dyDescent="0.2">
      <c r="P98" s="122" t="s">
        <v>62</v>
      </c>
    </row>
  </sheetData>
  <mergeCells count="15">
    <mergeCell ref="W39:W42"/>
    <mergeCell ref="W24:W27"/>
    <mergeCell ref="I1:K1"/>
    <mergeCell ref="M1:O1"/>
    <mergeCell ref="C2:D2"/>
    <mergeCell ref="W12:W16"/>
    <mergeCell ref="W18:W21"/>
    <mergeCell ref="W32:W37"/>
    <mergeCell ref="W80:W82"/>
    <mergeCell ref="W46:W50"/>
    <mergeCell ref="W76:W77"/>
    <mergeCell ref="W78:W79"/>
    <mergeCell ref="W58:W60"/>
    <mergeCell ref="W63:W65"/>
    <mergeCell ref="W69:W70"/>
  </mergeCells>
  <phoneticPr fontId="6" type="noConversion"/>
  <pageMargins left="0.62992125984251968" right="0.62992125984251968" top="1.4173228346456694" bottom="0.74803149606299213" header="0.51181102362204722" footer="0.31496062992125984"/>
  <pageSetup paperSize="8" scale="54" orientation="landscape" r:id="rId1"/>
  <headerFooter scaleWithDoc="0">
    <oddHeader>&amp;L&amp;8Bygherre: jeudan
Sag nr.: 2538 001
Sag: Palægaragerne
Dato: &amp;D&amp;K000000
SUCCESIV KALKULATION - ARKITEKTARBEJDER HOVEDTAL&amp;R&amp;G</oddHeader>
    <oddFooter>&amp;LRønnow Arkitekter A/S&amp;RSide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2B24C8CBBFA94390E9B306087E0F9A" ma:contentTypeVersion="14" ma:contentTypeDescription="Opret et nyt dokument." ma:contentTypeScope="" ma:versionID="9f3f06f37983d93edc82e6bf65ab46d5">
  <xsd:schema xmlns:xsd="http://www.w3.org/2001/XMLSchema" xmlns:xs="http://www.w3.org/2001/XMLSchema" xmlns:p="http://schemas.microsoft.com/office/2006/metadata/properties" xmlns:ns2="d8c6e327-c2c1-451d-b351-005638badcfb" xmlns:ns3="bc4d6a7a-5070-461e-afdf-9b839faaad46" targetNamespace="http://schemas.microsoft.com/office/2006/metadata/properties" ma:root="true" ma:fieldsID="e8b816b6267e120c9cdc615a7466f50d" ns2:_="" ns3:_="">
    <xsd:import namespace="d8c6e327-c2c1-451d-b351-005638badcfb"/>
    <xsd:import namespace="bc4d6a7a-5070-461e-afdf-9b839faaad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c6e327-c2c1-451d-b351-005638bad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ledmærker" ma:readOnly="false" ma:fieldId="{5cf76f15-5ced-4ddc-b409-7134ff3c332f}" ma:taxonomyMulti="true" ma:sspId="008488ba-d1d3-4e07-be88-edc17c9944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d6a7a-5070-461e-afdf-9b839faaad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a890952-ef9e-45bf-aa1a-929c5cf5b997}" ma:internalName="TaxCatchAll" ma:showField="CatchAllData" ma:web="bc4d6a7a-5070-461e-afdf-9b839faaad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c6e327-c2c1-451d-b351-005638badcfb">
      <Terms xmlns="http://schemas.microsoft.com/office/infopath/2007/PartnerControls"/>
    </lcf76f155ced4ddcb4097134ff3c332f>
    <TaxCatchAll xmlns="bc4d6a7a-5070-461e-afdf-9b839faaad46" xsi:nil="true"/>
  </documentManagement>
</p:properties>
</file>

<file path=customXml/itemProps1.xml><?xml version="1.0" encoding="utf-8"?>
<ds:datastoreItem xmlns:ds="http://schemas.openxmlformats.org/officeDocument/2006/customXml" ds:itemID="{CC8AE37C-3F00-47EA-A6C2-A0448416721A}"/>
</file>

<file path=customXml/itemProps2.xml><?xml version="1.0" encoding="utf-8"?>
<ds:datastoreItem xmlns:ds="http://schemas.openxmlformats.org/officeDocument/2006/customXml" ds:itemID="{AB7583C1-89AE-4BCB-9081-DCF19D5C2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5B7BB7-A70E-4A04-B244-CDA77C28EFA7}">
  <ds:schemaRefs>
    <ds:schemaRef ds:uri="http://www.w3.org/XML/1998/namespace"/>
    <ds:schemaRef ds:uri="http://schemas.microsoft.com/office/2006/metadata/properties"/>
    <ds:schemaRef ds:uri="http://purl.org/dc/elements/1.1/"/>
    <ds:schemaRef ds:uri="1c7f9932-2549-4b96-8e08-3c35f03fafb0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2</vt:i4>
      </vt:variant>
    </vt:vector>
  </HeadingPairs>
  <TitlesOfParts>
    <vt:vector size="3" baseType="lpstr">
      <vt:lpstr>Kalkulation</vt:lpstr>
      <vt:lpstr>Kalkulation!Udskriftsområde</vt:lpstr>
      <vt:lpstr>Kalkulation!Udskriftstitler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Grethe Pontoppidan</dc:creator>
  <cp:keywords/>
  <dc:description/>
  <cp:lastModifiedBy>Janus Døssing</cp:lastModifiedBy>
  <cp:revision/>
  <cp:lastPrinted>2024-03-13T21:31:42Z</cp:lastPrinted>
  <dcterms:created xsi:type="dcterms:W3CDTF">2010-08-08T06:14:48Z</dcterms:created>
  <dcterms:modified xsi:type="dcterms:W3CDTF">2024-03-13T21:31:47Z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0x0101008916763F3020D647962DCAC1F822DAD9</vt:lpwstr>
  </property>
</Properties>
</file>